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solarinvert.sharepoint.com/sites/KoopALPHAGH/Freigegebene Dokumente/Vertrieb/Auslegungs- und Berechnungstools/"/>
    </mc:Choice>
  </mc:AlternateContent>
  <xr:revisionPtr revIDLastSave="5" documentId="8_{F6754171-54E4-4F69-83A2-D8FC44E56367}" xr6:coauthVersionLast="47" xr6:coauthVersionMax="47" xr10:uidLastSave="{09FE7E06-0EB5-48DA-9474-CBC0562A107E}"/>
  <bookViews>
    <workbookView xWindow="-120" yWindow="-120" windowWidth="29040" windowHeight="15990" tabRatio="478" xr2:uid="{00000000-000D-0000-FFFF-FFFF00000000}"/>
  </bookViews>
  <sheets>
    <sheet name="Auslegungshilfe" sheetId="4" r:id="rId1"/>
    <sheet name="Übersetzungen" sheetId="7" state="hidden" r:id="rId2"/>
    <sheet name="Modulliste" sheetId="5" r:id="rId3"/>
    <sheet name="Akkuliste" sheetId="6" state="hidden" r:id="rId4"/>
  </sheets>
  <definedNames>
    <definedName name="_xlnm._FilterDatabase" localSheetId="0" hidden="1">Auslegungshilfe!$A$7:$O$13</definedName>
    <definedName name="_xlnm.Print_Area" localSheetId="0">Auslegungshilfe!$A$1:$CD$61</definedName>
    <definedName name="Hersteller">Modulliste!$A$2:$A$31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6" l="1"/>
  <c r="H19" i="6"/>
  <c r="G19" i="6"/>
  <c r="H18" i="6"/>
  <c r="G18" i="6"/>
  <c r="C18" i="6"/>
  <c r="CX36" i="4"/>
  <c r="CX35" i="4"/>
  <c r="CX34" i="4"/>
  <c r="CX33" i="4"/>
  <c r="CX32" i="4"/>
  <c r="CX31" i="4"/>
  <c r="K22" i="4"/>
  <c r="F14" i="4"/>
  <c r="CK100" i="4"/>
  <c r="CK68" i="4"/>
  <c r="CB47" i="4"/>
  <c r="CB48" i="4"/>
  <c r="CA41" i="4"/>
  <c r="CX30" i="4"/>
  <c r="CX29" i="4"/>
  <c r="CX28" i="4"/>
  <c r="CX27" i="4"/>
  <c r="CX26" i="4"/>
  <c r="CX25" i="4"/>
  <c r="CX24" i="4"/>
  <c r="CX23" i="4"/>
  <c r="CX44" i="4"/>
  <c r="AU59" i="4" l="1"/>
  <c r="AU53" i="4"/>
  <c r="AU47" i="4"/>
  <c r="BD58" i="4"/>
  <c r="BD52" i="4"/>
  <c r="BD46" i="4"/>
  <c r="BD40" i="4"/>
  <c r="AG42" i="4"/>
  <c r="BQ13" i="4"/>
  <c r="AU41" i="4"/>
  <c r="AE51" i="4"/>
  <c r="BI28" i="4" l="1"/>
  <c r="BO28" i="4"/>
  <c r="BJ29" i="4"/>
  <c r="AC28" i="4"/>
  <c r="AD29" i="4"/>
  <c r="BL13" i="4"/>
  <c r="BG13" i="4"/>
  <c r="CX39" i="4"/>
  <c r="CX21" i="4"/>
  <c r="B17" i="4"/>
  <c r="CM96" i="4"/>
  <c r="CM97" i="4"/>
  <c r="K23" i="4"/>
  <c r="K19" i="4"/>
  <c r="K18" i="4"/>
  <c r="CL15" i="4"/>
  <c r="CL17" i="4"/>
  <c r="CI17" i="4"/>
  <c r="CI16" i="4"/>
  <c r="CI15" i="4"/>
  <c r="K3" i="6" a="1"/>
  <c r="K3" i="6" s="1"/>
  <c r="K4" i="6" a="1"/>
  <c r="K4" i="6" s="1"/>
  <c r="K5" i="6" a="1"/>
  <c r="K5" i="6" s="1"/>
  <c r="K6" i="6" a="1"/>
  <c r="K6" i="6" s="1"/>
  <c r="K7" i="6" a="1"/>
  <c r="K7" i="6" s="1"/>
  <c r="K8" i="6" a="1"/>
  <c r="K8" i="6" s="1"/>
  <c r="K9" i="6" a="1"/>
  <c r="K9" i="6" s="1"/>
  <c r="K10" i="6" a="1"/>
  <c r="K10" i="6" s="1"/>
  <c r="K11" i="6" a="1"/>
  <c r="K11" i="6" s="1"/>
  <c r="K12" i="6" a="1"/>
  <c r="K12" i="6" s="1"/>
  <c r="K13" i="6" a="1"/>
  <c r="K13" i="6" s="1"/>
  <c r="K14" i="6" a="1"/>
  <c r="K14" i="6" s="1"/>
  <c r="K15" i="6" a="1"/>
  <c r="K15" i="6" s="1"/>
  <c r="K16" i="6" a="1"/>
  <c r="K16" i="6" s="1"/>
  <c r="K17" i="6" a="1"/>
  <c r="K17" i="6" s="1"/>
  <c r="K18" i="6" a="1"/>
  <c r="K18" i="6" s="1"/>
  <c r="K19" i="6" a="1"/>
  <c r="K19" i="6" s="1"/>
  <c r="K20" i="6" a="1"/>
  <c r="K20" i="6" s="1"/>
  <c r="K21" i="6" a="1"/>
  <c r="K21" i="6" s="1"/>
  <c r="K22" i="6" a="1"/>
  <c r="K22" i="6" s="1"/>
  <c r="K23" i="6" a="1"/>
  <c r="K23" i="6" s="1"/>
  <c r="K24" i="6" a="1"/>
  <c r="K24" i="6" s="1"/>
  <c r="K25" i="6" a="1"/>
  <c r="K25" i="6" s="1"/>
  <c r="K26" i="6" a="1"/>
  <c r="K26" i="6" s="1"/>
  <c r="K35" i="6" a="1"/>
  <c r="K35" i="6" s="1"/>
  <c r="CM101" i="4"/>
  <c r="CM100" i="4"/>
  <c r="CL98" i="4"/>
  <c r="CL100" i="4"/>
  <c r="CL101" i="4"/>
  <c r="CK101" i="4"/>
  <c r="CJ101" i="4"/>
  <c r="CI101" i="4"/>
  <c r="CH101" i="4"/>
  <c r="CG101" i="4"/>
  <c r="CF101" i="4"/>
  <c r="CJ100" i="4"/>
  <c r="CI100" i="4"/>
  <c r="CH100" i="4"/>
  <c r="CG100" i="4"/>
  <c r="CF100" i="4"/>
  <c r="CK99" i="4"/>
  <c r="CJ99" i="4"/>
  <c r="CI99" i="4"/>
  <c r="CH99" i="4"/>
  <c r="CG99" i="4"/>
  <c r="CF99" i="4"/>
  <c r="CK98" i="4"/>
  <c r="CJ98" i="4"/>
  <c r="CI98" i="4"/>
  <c r="CH98" i="4"/>
  <c r="CG98" i="4"/>
  <c r="CF98" i="4"/>
  <c r="CF97" i="4"/>
  <c r="CL97" i="4"/>
  <c r="CK97" i="4"/>
  <c r="CJ97" i="4"/>
  <c r="CI97" i="4"/>
  <c r="CH97" i="4"/>
  <c r="CG97" i="4"/>
  <c r="CL96" i="4"/>
  <c r="CK96" i="4"/>
  <c r="CJ96" i="4"/>
  <c r="CI96" i="4"/>
  <c r="CH96" i="4"/>
  <c r="CG96" i="4"/>
  <c r="CF96" i="4"/>
  <c r="AI28" i="4" l="1"/>
  <c r="CB44" i="4"/>
  <c r="CM98" i="4"/>
  <c r="CL99" i="4"/>
  <c r="CM99" i="4"/>
  <c r="CX49" i="4" l="1"/>
  <c r="CX48" i="4"/>
  <c r="CX47" i="4"/>
  <c r="CX41" i="4"/>
  <c r="CX42" i="4"/>
  <c r="CX43" i="4"/>
  <c r="CX45" i="4"/>
  <c r="CX40" i="4"/>
  <c r="CX46" i="4"/>
  <c r="CM102" i="4"/>
  <c r="CM90" i="4"/>
  <c r="CM89" i="4"/>
  <c r="CN90" i="4"/>
  <c r="CN91" i="4"/>
  <c r="CN92" i="4"/>
  <c r="CN93" i="4"/>
  <c r="CN94" i="4"/>
  <c r="CN95" i="4"/>
  <c r="CN96" i="4"/>
  <c r="CN97" i="4"/>
  <c r="CN98" i="4"/>
  <c r="CN99" i="4"/>
  <c r="CN100" i="4"/>
  <c r="CN101" i="4"/>
  <c r="CN102" i="4"/>
  <c r="CN103" i="4"/>
  <c r="CN104" i="4"/>
  <c r="K2" i="6" a="1"/>
  <c r="K2" i="6" s="1"/>
  <c r="CN89" i="4" s="1"/>
  <c r="CF90" i="4"/>
  <c r="CG90" i="4"/>
  <c r="CH90" i="4"/>
  <c r="CI90" i="4"/>
  <c r="CJ90" i="4"/>
  <c r="CK90" i="4"/>
  <c r="CL90" i="4"/>
  <c r="CF91" i="4"/>
  <c r="CG91" i="4"/>
  <c r="CH91" i="4"/>
  <c r="CI91" i="4"/>
  <c r="CJ91" i="4"/>
  <c r="CK91" i="4"/>
  <c r="CL91" i="4"/>
  <c r="CM91" i="4"/>
  <c r="CF92" i="4"/>
  <c r="CG92" i="4"/>
  <c r="CH92" i="4"/>
  <c r="CI92" i="4"/>
  <c r="CJ92" i="4"/>
  <c r="CK92" i="4"/>
  <c r="CL92" i="4"/>
  <c r="CM92" i="4"/>
  <c r="CF93" i="4"/>
  <c r="CG93" i="4"/>
  <c r="CH93" i="4"/>
  <c r="CI93" i="4"/>
  <c r="CJ93" i="4"/>
  <c r="CK93" i="4"/>
  <c r="CL93" i="4"/>
  <c r="CM93" i="4"/>
  <c r="CF94" i="4"/>
  <c r="CG94" i="4"/>
  <c r="CH94" i="4"/>
  <c r="CI94" i="4"/>
  <c r="CJ94" i="4"/>
  <c r="CK94" i="4"/>
  <c r="CL94" i="4"/>
  <c r="CM94" i="4"/>
  <c r="CF95" i="4"/>
  <c r="CG95" i="4"/>
  <c r="CH95" i="4"/>
  <c r="CI95" i="4"/>
  <c r="CJ95" i="4"/>
  <c r="CK95" i="4"/>
  <c r="CL95" i="4"/>
  <c r="CM95" i="4"/>
  <c r="CF102" i="4"/>
  <c r="CG102" i="4"/>
  <c r="CH102" i="4"/>
  <c r="CI102" i="4"/>
  <c r="CJ102" i="4"/>
  <c r="CK102" i="4"/>
  <c r="CL102" i="4"/>
  <c r="CF103" i="4"/>
  <c r="CG103" i="4"/>
  <c r="CH103" i="4"/>
  <c r="CI103" i="4"/>
  <c r="CJ103" i="4"/>
  <c r="CK103" i="4"/>
  <c r="CL103" i="4"/>
  <c r="CM103" i="4"/>
  <c r="CF104" i="4"/>
  <c r="CG104" i="4"/>
  <c r="CH104" i="4"/>
  <c r="CI104" i="4"/>
  <c r="CJ104" i="4"/>
  <c r="CK104" i="4"/>
  <c r="CL104" i="4"/>
  <c r="CM104" i="4"/>
  <c r="CF89" i="4"/>
  <c r="CG89" i="4"/>
  <c r="CH89" i="4"/>
  <c r="CI89" i="4"/>
  <c r="CJ89" i="4"/>
  <c r="CK89" i="4"/>
  <c r="CL89" i="4"/>
  <c r="CF105" i="4"/>
  <c r="CG105" i="4"/>
  <c r="CH105" i="4"/>
  <c r="CI105" i="4"/>
  <c r="CJ105" i="4"/>
  <c r="CK105" i="4"/>
  <c r="CL105" i="4"/>
  <c r="CM105" i="4"/>
  <c r="CF106" i="4"/>
  <c r="CG106" i="4"/>
  <c r="CH106" i="4"/>
  <c r="CI106" i="4"/>
  <c r="CJ106" i="4"/>
  <c r="CK106" i="4"/>
  <c r="CL106" i="4"/>
  <c r="CM106" i="4"/>
  <c r="CF107" i="4"/>
  <c r="CG107" i="4"/>
  <c r="CH107" i="4"/>
  <c r="CI107" i="4"/>
  <c r="CJ107" i="4"/>
  <c r="CK107" i="4"/>
  <c r="CL107" i="4"/>
  <c r="CM107" i="4"/>
  <c r="CF108" i="4"/>
  <c r="CG108" i="4"/>
  <c r="CH108" i="4"/>
  <c r="CI108" i="4"/>
  <c r="CJ108" i="4"/>
  <c r="CK108" i="4"/>
  <c r="CL108" i="4"/>
  <c r="CM108" i="4"/>
  <c r="CF109" i="4"/>
  <c r="CG109" i="4"/>
  <c r="CH109" i="4"/>
  <c r="CI109" i="4"/>
  <c r="CJ109" i="4"/>
  <c r="CK109" i="4"/>
  <c r="CL109" i="4"/>
  <c r="CM109" i="4"/>
  <c r="CF110" i="4"/>
  <c r="CG110" i="4"/>
  <c r="CH110" i="4"/>
  <c r="CI110" i="4"/>
  <c r="CJ110" i="4"/>
  <c r="CK110" i="4"/>
  <c r="CL110" i="4"/>
  <c r="CM110" i="4"/>
  <c r="CF111" i="4"/>
  <c r="CG111" i="4"/>
  <c r="CH111" i="4"/>
  <c r="CI111" i="4"/>
  <c r="CJ111" i="4"/>
  <c r="CK111" i="4"/>
  <c r="CL111" i="4"/>
  <c r="CM111" i="4"/>
  <c r="CF112" i="4"/>
  <c r="CG112" i="4"/>
  <c r="CH112" i="4"/>
  <c r="CI112" i="4"/>
  <c r="CJ112" i="4"/>
  <c r="CK112" i="4"/>
  <c r="CL112" i="4"/>
  <c r="CM112" i="4"/>
  <c r="CF113" i="4"/>
  <c r="CG113" i="4"/>
  <c r="CH113" i="4"/>
  <c r="CI113" i="4"/>
  <c r="CJ113" i="4"/>
  <c r="CK113" i="4"/>
  <c r="CL113" i="4"/>
  <c r="CM113" i="4"/>
  <c r="CF114" i="4"/>
  <c r="CG114" i="4"/>
  <c r="CH114" i="4"/>
  <c r="CI114" i="4"/>
  <c r="CJ114" i="4"/>
  <c r="CK114" i="4"/>
  <c r="CL114" i="4"/>
  <c r="CM114" i="4"/>
  <c r="CH115" i="4"/>
  <c r="CI115" i="4"/>
  <c r="CJ115" i="4"/>
  <c r="CK115" i="4"/>
  <c r="CL115" i="4"/>
  <c r="CM115" i="4"/>
  <c r="CH116" i="4"/>
  <c r="CI116" i="4"/>
  <c r="CJ116" i="4"/>
  <c r="CK116" i="4"/>
  <c r="CL116" i="4"/>
  <c r="CM116" i="4"/>
  <c r="CH117" i="4"/>
  <c r="CI117" i="4"/>
  <c r="CJ117" i="4"/>
  <c r="CK117" i="4"/>
  <c r="CL117" i="4"/>
  <c r="CM117" i="4"/>
  <c r="CH118" i="4"/>
  <c r="CI118" i="4"/>
  <c r="CJ118" i="4"/>
  <c r="CK118" i="4"/>
  <c r="CL118" i="4"/>
  <c r="CM118" i="4"/>
  <c r="CF115" i="4"/>
  <c r="CF116" i="4"/>
  <c r="CF117" i="4"/>
  <c r="CF118" i="4"/>
  <c r="CG115" i="4"/>
  <c r="CG116" i="4"/>
  <c r="CG117" i="4"/>
  <c r="CG118" i="4"/>
  <c r="CN118" i="4"/>
  <c r="CN117" i="4"/>
  <c r="CN116" i="4"/>
  <c r="CN115" i="4"/>
  <c r="CN114" i="4"/>
  <c r="CN113" i="4"/>
  <c r="CN112" i="4"/>
  <c r="CN111" i="4"/>
  <c r="CN110" i="4"/>
  <c r="CN109" i="4"/>
  <c r="CN108" i="4"/>
  <c r="CN107" i="4"/>
  <c r="CN106" i="4"/>
  <c r="CN105" i="4"/>
  <c r="J20" i="4"/>
  <c r="J59" i="4"/>
  <c r="J60" i="4"/>
  <c r="K54" i="4"/>
  <c r="CF64" i="4"/>
  <c r="CG64" i="4"/>
  <c r="CH64" i="4"/>
  <c r="CI64" i="4"/>
  <c r="CJ64" i="4"/>
  <c r="CK64" i="4"/>
  <c r="CL64" i="4"/>
  <c r="CM64" i="4"/>
  <c r="CN64" i="4"/>
  <c r="CO64" i="4"/>
  <c r="CF65" i="4"/>
  <c r="CG65" i="4"/>
  <c r="CH65" i="4"/>
  <c r="CI65" i="4"/>
  <c r="CJ65" i="4"/>
  <c r="CK65" i="4"/>
  <c r="CL65" i="4"/>
  <c r="CM65" i="4"/>
  <c r="CN65" i="4"/>
  <c r="CO65" i="4"/>
  <c r="CF66" i="4"/>
  <c r="CG66" i="4"/>
  <c r="CH66" i="4"/>
  <c r="CI66" i="4"/>
  <c r="CJ66" i="4"/>
  <c r="CK66" i="4"/>
  <c r="CL66" i="4"/>
  <c r="CM66" i="4"/>
  <c r="CN66" i="4"/>
  <c r="CO66" i="4"/>
  <c r="CF67" i="4"/>
  <c r="CG67" i="4"/>
  <c r="CH67" i="4"/>
  <c r="CI67" i="4"/>
  <c r="CJ67" i="4"/>
  <c r="CK67" i="4"/>
  <c r="CL67" i="4"/>
  <c r="CM67" i="4"/>
  <c r="CN67" i="4"/>
  <c r="CO67" i="4"/>
  <c r="CF68" i="4"/>
  <c r="CG68" i="4"/>
  <c r="CH68" i="4"/>
  <c r="CI68" i="4"/>
  <c r="CJ68" i="4"/>
  <c r="CL68" i="4"/>
  <c r="CM68" i="4"/>
  <c r="CN68" i="4"/>
  <c r="CO68" i="4"/>
  <c r="CF69" i="4"/>
  <c r="CG69" i="4"/>
  <c r="CH69" i="4"/>
  <c r="CI69" i="4"/>
  <c r="CJ69" i="4"/>
  <c r="CK69" i="4"/>
  <c r="CL69" i="4"/>
  <c r="CM69" i="4"/>
  <c r="CN69" i="4"/>
  <c r="CO69" i="4"/>
  <c r="CF70" i="4"/>
  <c r="CG70" i="4"/>
  <c r="CH70" i="4"/>
  <c r="CI70" i="4"/>
  <c r="CJ70" i="4"/>
  <c r="CK70" i="4"/>
  <c r="CL70" i="4"/>
  <c r="CM70" i="4"/>
  <c r="CN70" i="4"/>
  <c r="CO70" i="4"/>
  <c r="CF71" i="4"/>
  <c r="CG71" i="4"/>
  <c r="CH71" i="4"/>
  <c r="CI71" i="4"/>
  <c r="CJ71" i="4"/>
  <c r="CK71" i="4"/>
  <c r="CL71" i="4"/>
  <c r="CM71" i="4"/>
  <c r="CN71" i="4"/>
  <c r="CO71" i="4"/>
  <c r="CF72" i="4"/>
  <c r="CG72" i="4"/>
  <c r="CH72" i="4"/>
  <c r="CI72" i="4"/>
  <c r="CJ72" i="4"/>
  <c r="CK72" i="4"/>
  <c r="CL72" i="4"/>
  <c r="CM72" i="4"/>
  <c r="CN72" i="4"/>
  <c r="CO72" i="4"/>
  <c r="CF73" i="4"/>
  <c r="CG73" i="4"/>
  <c r="CH73" i="4"/>
  <c r="CI73" i="4"/>
  <c r="CJ73" i="4"/>
  <c r="CK73" i="4"/>
  <c r="CL73" i="4"/>
  <c r="CM73" i="4"/>
  <c r="CN73" i="4"/>
  <c r="CO73" i="4"/>
  <c r="CF74" i="4"/>
  <c r="CG74" i="4"/>
  <c r="CH74" i="4"/>
  <c r="CI74" i="4"/>
  <c r="CJ74" i="4"/>
  <c r="CK74" i="4"/>
  <c r="CL74" i="4"/>
  <c r="CM74" i="4"/>
  <c r="CN74" i="4"/>
  <c r="CO74" i="4"/>
  <c r="CF75" i="4"/>
  <c r="CG75" i="4"/>
  <c r="CH75" i="4"/>
  <c r="CI75" i="4"/>
  <c r="CJ75" i="4"/>
  <c r="CK75" i="4"/>
  <c r="CL75" i="4"/>
  <c r="CM75" i="4"/>
  <c r="CN75" i="4"/>
  <c r="CO75" i="4"/>
  <c r="CF76" i="4"/>
  <c r="CG76" i="4"/>
  <c r="CH76" i="4"/>
  <c r="CI76" i="4"/>
  <c r="CJ76" i="4"/>
  <c r="CK76" i="4"/>
  <c r="CL76" i="4"/>
  <c r="CM76" i="4"/>
  <c r="CN76" i="4"/>
  <c r="CO76" i="4"/>
  <c r="CF77" i="4"/>
  <c r="CG77" i="4"/>
  <c r="CH77" i="4"/>
  <c r="CI77" i="4"/>
  <c r="CJ77" i="4"/>
  <c r="CK77" i="4"/>
  <c r="CL77" i="4"/>
  <c r="CM77" i="4"/>
  <c r="CN77" i="4"/>
  <c r="CO77" i="4"/>
  <c r="CF78" i="4"/>
  <c r="CG78" i="4"/>
  <c r="CH78" i="4"/>
  <c r="CI78" i="4"/>
  <c r="CJ78" i="4"/>
  <c r="CK78" i="4"/>
  <c r="CL78" i="4"/>
  <c r="CM78" i="4"/>
  <c r="CN78" i="4"/>
  <c r="CO78" i="4"/>
  <c r="CF79" i="4"/>
  <c r="CG79" i="4"/>
  <c r="CH79" i="4"/>
  <c r="CI79" i="4"/>
  <c r="CJ79" i="4"/>
  <c r="CK79" i="4"/>
  <c r="CL79" i="4"/>
  <c r="CM79" i="4"/>
  <c r="CN79" i="4"/>
  <c r="CO79" i="4"/>
  <c r="CF80" i="4"/>
  <c r="CG80" i="4"/>
  <c r="CH80" i="4"/>
  <c r="CI80" i="4"/>
  <c r="CJ80" i="4"/>
  <c r="CK80" i="4"/>
  <c r="CL80" i="4"/>
  <c r="CM80" i="4"/>
  <c r="CN80" i="4"/>
  <c r="CO80" i="4"/>
  <c r="CF81" i="4"/>
  <c r="CG81" i="4"/>
  <c r="CH81" i="4"/>
  <c r="CI81" i="4"/>
  <c r="CJ81" i="4"/>
  <c r="CK81" i="4"/>
  <c r="CL81" i="4"/>
  <c r="CM81" i="4"/>
  <c r="CN81" i="4"/>
  <c r="CO81" i="4"/>
  <c r="CF82" i="4"/>
  <c r="CG82" i="4"/>
  <c r="CH82" i="4"/>
  <c r="CI82" i="4"/>
  <c r="CJ82" i="4"/>
  <c r="CK82" i="4"/>
  <c r="CL82" i="4"/>
  <c r="CM82" i="4"/>
  <c r="CN82" i="4"/>
  <c r="CO82" i="4"/>
  <c r="CF83" i="4"/>
  <c r="CG83" i="4"/>
  <c r="CH83" i="4"/>
  <c r="CI83" i="4"/>
  <c r="CJ83" i="4"/>
  <c r="CK83" i="4"/>
  <c r="CL83" i="4"/>
  <c r="CM83" i="4"/>
  <c r="CN83" i="4"/>
  <c r="CO83" i="4"/>
  <c r="CF84" i="4"/>
  <c r="CG84" i="4"/>
  <c r="CH84" i="4"/>
  <c r="CI84" i="4"/>
  <c r="CJ84" i="4"/>
  <c r="CK84" i="4"/>
  <c r="CL84" i="4"/>
  <c r="CM84" i="4"/>
  <c r="CN84" i="4"/>
  <c r="CO84" i="4"/>
  <c r="CF85" i="4"/>
  <c r="CG85" i="4"/>
  <c r="CH85" i="4"/>
  <c r="CI85" i="4"/>
  <c r="CJ85" i="4"/>
  <c r="CK85" i="4"/>
  <c r="CL85" i="4"/>
  <c r="CM85" i="4"/>
  <c r="CN85" i="4"/>
  <c r="CO85" i="4"/>
  <c r="CF86" i="4"/>
  <c r="CG86" i="4"/>
  <c r="CH86" i="4"/>
  <c r="CI86" i="4"/>
  <c r="CJ86" i="4"/>
  <c r="CK86" i="4"/>
  <c r="CL86" i="4"/>
  <c r="CM86" i="4"/>
  <c r="CN86" i="4"/>
  <c r="CO86" i="4"/>
  <c r="CF58" i="4"/>
  <c r="CG58" i="4"/>
  <c r="CH58" i="4"/>
  <c r="CI58" i="4"/>
  <c r="CJ58" i="4"/>
  <c r="CK58" i="4"/>
  <c r="CL58" i="4"/>
  <c r="CM58" i="4"/>
  <c r="CN58" i="4"/>
  <c r="CO58" i="4"/>
  <c r="CF59" i="4"/>
  <c r="CF57" i="4"/>
  <c r="CF60" i="4"/>
  <c r="CF61" i="4"/>
  <c r="CF62" i="4"/>
  <c r="CF63" i="4"/>
  <c r="CG59" i="4"/>
  <c r="CH59" i="4"/>
  <c r="CI59" i="4"/>
  <c r="CJ59" i="4"/>
  <c r="CG57" i="4"/>
  <c r="CG60" i="4"/>
  <c r="CG61" i="4"/>
  <c r="CG62" i="4"/>
  <c r="CH57" i="4"/>
  <c r="CI57" i="4"/>
  <c r="CJ57" i="4"/>
  <c r="CK57" i="4"/>
  <c r="CL57" i="4"/>
  <c r="CM57" i="4"/>
  <c r="CN57" i="4"/>
  <c r="CO57" i="4"/>
  <c r="CK59" i="4"/>
  <c r="CL59" i="4"/>
  <c r="CM59" i="4"/>
  <c r="CN59" i="4"/>
  <c r="CO59" i="4"/>
  <c r="CH60" i="4"/>
  <c r="CI60" i="4"/>
  <c r="CJ60" i="4"/>
  <c r="CK60" i="4"/>
  <c r="CL60" i="4"/>
  <c r="CM60" i="4"/>
  <c r="CN60" i="4"/>
  <c r="CO60" i="4"/>
  <c r="CH61" i="4"/>
  <c r="CI61" i="4"/>
  <c r="CJ61" i="4"/>
  <c r="CK61" i="4"/>
  <c r="CL61" i="4"/>
  <c r="CM61" i="4"/>
  <c r="CN61" i="4"/>
  <c r="CO61" i="4"/>
  <c r="CH62" i="4"/>
  <c r="CI62" i="4"/>
  <c r="CJ62" i="4"/>
  <c r="CK62" i="4"/>
  <c r="CL62" i="4"/>
  <c r="CM62" i="4"/>
  <c r="CN62" i="4"/>
  <c r="CO62" i="4"/>
  <c r="CG63" i="4"/>
  <c r="CH63" i="4"/>
  <c r="CI63" i="4"/>
  <c r="CJ63" i="4"/>
  <c r="CK63" i="4"/>
  <c r="CL63" i="4"/>
  <c r="CM63" i="4"/>
  <c r="CN63" i="4"/>
  <c r="CO63" i="4"/>
  <c r="L3" i="5" a="1"/>
  <c r="L3" i="5" s="1"/>
  <c r="CP58" i="4" s="1"/>
  <c r="L4" i="5" a="1"/>
  <c r="L4" i="5" s="1"/>
  <c r="CP59" i="4" s="1"/>
  <c r="L5" i="5" a="1"/>
  <c r="L5" i="5" s="1"/>
  <c r="CP60" i="4" s="1"/>
  <c r="L6" i="5" a="1"/>
  <c r="L6" i="5" s="1"/>
  <c r="CP61" i="4" s="1"/>
  <c r="L7" i="5" a="1"/>
  <c r="L7" i="5" s="1"/>
  <c r="CP62" i="4" s="1"/>
  <c r="L8" i="5" a="1"/>
  <c r="L8" i="5" s="1"/>
  <c r="CP63" i="4" s="1"/>
  <c r="L9" i="5" a="1"/>
  <c r="L9" i="5" s="1"/>
  <c r="CP64" i="4" s="1"/>
  <c r="L10" i="5" a="1"/>
  <c r="L10" i="5" s="1"/>
  <c r="CP65" i="4" s="1"/>
  <c r="L11" i="5" a="1"/>
  <c r="L11" i="5" s="1"/>
  <c r="CP66" i="4" s="1"/>
  <c r="L12" i="5" a="1"/>
  <c r="L12" i="5" s="1"/>
  <c r="CP67" i="4" s="1"/>
  <c r="L13" i="5" a="1"/>
  <c r="L13" i="5" s="1"/>
  <c r="CP68" i="4" s="1"/>
  <c r="L14" i="5" a="1"/>
  <c r="L14" i="5" s="1"/>
  <c r="CP69" i="4" s="1"/>
  <c r="L15" i="5" a="1"/>
  <c r="L15" i="5" s="1"/>
  <c r="CP70" i="4" s="1"/>
  <c r="L16" i="5" a="1"/>
  <c r="L16" i="5" s="1"/>
  <c r="CP71" i="4" s="1"/>
  <c r="L17" i="5" a="1"/>
  <c r="L17" i="5" s="1"/>
  <c r="CP72" i="4" s="1"/>
  <c r="L18" i="5" a="1"/>
  <c r="L18" i="5" s="1"/>
  <c r="CP73" i="4" s="1"/>
  <c r="L19" i="5" a="1"/>
  <c r="L19" i="5" s="1"/>
  <c r="CP74" i="4" s="1"/>
  <c r="L20" i="5" a="1"/>
  <c r="L20" i="5" s="1"/>
  <c r="CP75" i="4" s="1"/>
  <c r="L21" i="5" a="1"/>
  <c r="L21" i="5" s="1"/>
  <c r="CP76" i="4" s="1"/>
  <c r="L22" i="5" a="1"/>
  <c r="L22" i="5" s="1"/>
  <c r="CP77" i="4" s="1"/>
  <c r="L23" i="5" a="1"/>
  <c r="L23" i="5" s="1"/>
  <c r="CP78" i="4" s="1"/>
  <c r="L24" i="5" a="1"/>
  <c r="L24" i="5" s="1"/>
  <c r="CP79" i="4" s="1"/>
  <c r="L25" i="5" a="1"/>
  <c r="L25" i="5" s="1"/>
  <c r="CP80" i="4" s="1"/>
  <c r="L26" i="5" a="1"/>
  <c r="L26" i="5" s="1"/>
  <c r="CP81" i="4" s="1"/>
  <c r="L27" i="5" a="1"/>
  <c r="L27" i="5" s="1"/>
  <c r="CP82" i="4" s="1"/>
  <c r="L28" i="5" a="1"/>
  <c r="L28" i="5" s="1"/>
  <c r="CP83" i="4" s="1"/>
  <c r="L29" i="5" a="1"/>
  <c r="L29" i="5" s="1"/>
  <c r="CP84" i="4" s="1"/>
  <c r="L30" i="5" a="1"/>
  <c r="L30" i="5" s="1"/>
  <c r="CP85" i="4" s="1"/>
  <c r="L31" i="5" a="1"/>
  <c r="L31" i="5" s="1"/>
  <c r="CP86" i="4" s="1"/>
  <c r="L2" i="5" a="1"/>
  <c r="L2" i="5" s="1"/>
  <c r="CP57" i="4" s="1"/>
  <c r="S5" i="5"/>
  <c r="S6" i="5"/>
  <c r="S4" i="5"/>
  <c r="CL16" i="4" l="1"/>
  <c r="CB38" i="4"/>
  <c r="CA37" i="4"/>
  <c r="BR43" i="4"/>
  <c r="BR42" i="4"/>
  <c r="CO107" i="4" a="1"/>
  <c r="CO107" i="4" s="1"/>
  <c r="CO110" i="4" a="1"/>
  <c r="CO110" i="4" s="1"/>
  <c r="CO102" i="4" a="1"/>
  <c r="CO102" i="4" s="1"/>
  <c r="CO113" i="4" a="1"/>
  <c r="CO113" i="4" s="1"/>
  <c r="CO95" i="4" a="1"/>
  <c r="CO95" i="4" s="1"/>
  <c r="CO117" i="4" a="1"/>
  <c r="CO117" i="4" s="1"/>
  <c r="CO106" i="4" a="1"/>
  <c r="CO106" i="4" s="1"/>
  <c r="J40" i="4"/>
  <c r="CO116" i="4" a="1"/>
  <c r="CO116" i="4" s="1"/>
  <c r="J39" i="4"/>
  <c r="CQ66" i="4" a="1"/>
  <c r="CQ66" i="4" s="1"/>
  <c r="J36" i="4"/>
  <c r="BO27" i="4" s="1"/>
  <c r="CQ70" i="4" a="1"/>
  <c r="CQ70" i="4" s="1"/>
  <c r="CQ77" i="4" a="1"/>
  <c r="CQ77" i="4" s="1"/>
  <c r="CO89" i="4" a="1"/>
  <c r="CO89" i="4" s="1"/>
  <c r="CO98" i="4" a="1"/>
  <c r="CO98" i="4" s="1"/>
  <c r="CO97" i="4" a="1"/>
  <c r="CO97" i="4" s="1"/>
  <c r="CO104" i="4" a="1"/>
  <c r="CO104" i="4" s="1"/>
  <c r="CO101" i="4" a="1"/>
  <c r="CO101" i="4" s="1"/>
  <c r="CO99" i="4" a="1"/>
  <c r="CO99" i="4" s="1"/>
  <c r="CO100" i="4" a="1"/>
  <c r="CO100" i="4" s="1"/>
  <c r="CO94" i="4" a="1"/>
  <c r="CO94" i="4" s="1"/>
  <c r="CO118" i="4" a="1"/>
  <c r="CO118" i="4" s="1"/>
  <c r="CO112" i="4" a="1"/>
  <c r="CO112" i="4" s="1"/>
  <c r="CO115" i="4" a="1"/>
  <c r="CO115" i="4" s="1"/>
  <c r="CO91" i="4" a="1"/>
  <c r="CO91" i="4" s="1"/>
  <c r="CO108" i="4" a="1"/>
  <c r="CO108" i="4" s="1"/>
  <c r="CO92" i="4" a="1"/>
  <c r="CO92" i="4" s="1"/>
  <c r="CO114" i="4" a="1"/>
  <c r="CO114" i="4" s="1"/>
  <c r="CO93" i="4" a="1"/>
  <c r="CO93" i="4" s="1"/>
  <c r="CO111" i="4" a="1"/>
  <c r="CO111" i="4" s="1"/>
  <c r="CO96" i="4" a="1"/>
  <c r="CO96" i="4" s="1"/>
  <c r="CO109" i="4" a="1"/>
  <c r="CO109" i="4" s="1"/>
  <c r="CO105" i="4" a="1"/>
  <c r="CO105" i="4" s="1"/>
  <c r="CO103" i="4" a="1"/>
  <c r="CO103" i="4" s="1"/>
  <c r="CO90" i="4" a="1"/>
  <c r="CO90" i="4" s="1"/>
  <c r="CQ83" i="4" a="1"/>
  <c r="CQ83" i="4" s="1"/>
  <c r="CQ81" i="4" a="1"/>
  <c r="CQ81" i="4" s="1"/>
  <c r="CQ68" i="4" a="1"/>
  <c r="CQ68" i="4" s="1"/>
  <c r="CQ79" i="4" a="1"/>
  <c r="CQ79" i="4" s="1"/>
  <c r="CQ60" i="4" a="1"/>
  <c r="CQ60" i="4" s="1"/>
  <c r="CQ78" i="4" a="1"/>
  <c r="CQ78" i="4" s="1"/>
  <c r="CQ80" i="4" a="1"/>
  <c r="CQ80" i="4" s="1"/>
  <c r="CQ84" i="4" a="1"/>
  <c r="CQ84" i="4" s="1"/>
  <c r="CQ71" i="4" a="1"/>
  <c r="CQ71" i="4" s="1"/>
  <c r="CQ64" i="4" a="1"/>
  <c r="CQ64" i="4" s="1"/>
  <c r="CQ57" i="4" a="1"/>
  <c r="CQ57" i="4" s="1"/>
  <c r="CQ61" i="4" a="1"/>
  <c r="CQ61" i="4" s="1"/>
  <c r="J21" i="4"/>
  <c r="J41" i="4"/>
  <c r="J45" i="4"/>
  <c r="CQ63" i="4" a="1"/>
  <c r="CQ63" i="4" s="1"/>
  <c r="J47" i="4"/>
  <c r="CQ82" i="4" a="1"/>
  <c r="CQ82" i="4" s="1"/>
  <c r="CQ74" i="4" a="1"/>
  <c r="CQ74" i="4" s="1"/>
  <c r="CQ59" i="4" a="1"/>
  <c r="CQ59" i="4" s="1"/>
  <c r="CQ75" i="4" a="1"/>
  <c r="CQ75" i="4" s="1"/>
  <c r="CQ85" i="4" a="1"/>
  <c r="CQ85" i="4" s="1"/>
  <c r="CQ86" i="4" a="1"/>
  <c r="CQ86" i="4" s="1"/>
  <c r="CQ58" i="4" a="1"/>
  <c r="CQ58" i="4" s="1"/>
  <c r="J46" i="4"/>
  <c r="J38" i="4"/>
  <c r="CQ67" i="4" a="1"/>
  <c r="CQ67" i="4" s="1"/>
  <c r="CQ73" i="4" a="1"/>
  <c r="CQ73" i="4" s="1"/>
  <c r="CQ72" i="4" a="1"/>
  <c r="CQ72" i="4" s="1"/>
  <c r="CQ65" i="4" a="1"/>
  <c r="CQ65" i="4" s="1"/>
  <c r="CQ69" i="4" a="1"/>
  <c r="CQ69" i="4" s="1"/>
  <c r="CQ62" i="4" a="1"/>
  <c r="CQ62" i="4" s="1"/>
  <c r="CQ76" i="4" a="1"/>
  <c r="CQ76" i="4" s="1"/>
  <c r="AI19" i="4" l="1"/>
  <c r="BO19" i="4"/>
  <c r="AI27" i="4"/>
  <c r="AC27" i="4"/>
  <c r="AA26" i="4" s="1"/>
  <c r="AC19" i="4"/>
  <c r="BI19" i="4"/>
  <c r="BG18" i="4" s="1"/>
  <c r="BI27" i="4"/>
  <c r="BG26" i="4" s="1"/>
  <c r="BV13" i="4"/>
  <c r="CI10" i="4"/>
  <c r="CV13" i="4"/>
  <c r="CM13" i="4"/>
  <c r="CK13" i="4"/>
  <c r="CL13" i="4"/>
  <c r="CO13" i="4"/>
  <c r="CS13" i="4"/>
  <c r="CT13" i="4"/>
  <c r="CI13" i="4"/>
  <c r="CU13" i="4"/>
  <c r="CP13" i="4"/>
  <c r="CJ13" i="4"/>
  <c r="CW13" i="4"/>
  <c r="CN13" i="4"/>
  <c r="CQ13" i="4"/>
  <c r="CR13" i="4"/>
  <c r="CI11" i="4"/>
  <c r="CQ11" i="4"/>
  <c r="CS10" i="4"/>
  <c r="CM10" i="4"/>
  <c r="CS11" i="4"/>
  <c r="CL10" i="4"/>
  <c r="CO11" i="4"/>
  <c r="CW10" i="4"/>
  <c r="CQ10" i="4"/>
  <c r="CJ11" i="4"/>
  <c r="CN10" i="4"/>
  <c r="CU10" i="4"/>
  <c r="CV11" i="4"/>
  <c r="CP10" i="4"/>
  <c r="CR11" i="4"/>
  <c r="CT10" i="4"/>
  <c r="CJ10" i="4"/>
  <c r="CK11" i="4"/>
  <c r="CP11" i="4"/>
  <c r="CP12" i="4" s="1"/>
  <c r="CR10" i="4"/>
  <c r="CV10" i="4"/>
  <c r="CK10" i="4"/>
  <c r="CN11" i="4"/>
  <c r="CO10" i="4"/>
  <c r="CM11" i="4"/>
  <c r="CW11" i="4"/>
  <c r="CT11" i="4"/>
  <c r="CU11" i="4"/>
  <c r="CL11" i="4"/>
  <c r="BJ21" i="4" l="1"/>
  <c r="BO21" i="4" s="1"/>
  <c r="BI20" i="4"/>
  <c r="BO20" i="4"/>
  <c r="AC20" i="4"/>
  <c r="AI20" i="4"/>
  <c r="AD21" i="4"/>
  <c r="AI21" i="4" s="1"/>
  <c r="AI29" i="4"/>
  <c r="CF6" i="4"/>
  <c r="CE5" i="4"/>
  <c r="BO29" i="4"/>
  <c r="CL12" i="4"/>
  <c r="AA18" i="4"/>
  <c r="CV12" i="4"/>
  <c r="CI12" i="4"/>
  <c r="CQ12" i="4"/>
  <c r="CK12" i="4"/>
  <c r="CM12" i="4"/>
  <c r="CO12" i="4"/>
  <c r="CS12" i="4"/>
  <c r="CU12" i="4"/>
  <c r="CT12" i="4"/>
  <c r="CJ12" i="4"/>
  <c r="CW12" i="4"/>
  <c r="CN12" i="4"/>
  <c r="CR12" i="4"/>
  <c r="BJ30" i="4" l="1"/>
  <c r="BO30" i="4" s="1"/>
  <c r="AD30" i="4"/>
  <c r="AI30" i="4" s="1"/>
  <c r="BJ22" i="4"/>
  <c r="BO22" i="4" s="1"/>
  <c r="AD22" i="4"/>
  <c r="AI22" i="4" s="1"/>
  <c r="K15" i="4" l="1"/>
  <c r="AG58" i="4" s="1"/>
  <c r="CE3" i="4"/>
  <c r="CF3" i="4" s="1"/>
  <c r="CE4" i="4"/>
  <c r="CF4" i="4" s="1"/>
  <c r="CB39" i="4"/>
  <c r="BZ40" i="4" s="1"/>
  <c r="AL61" i="4"/>
  <c r="CA42" i="4" l="1"/>
  <c r="CA43" i="4" s="1"/>
  <c r="BN39" i="4" s="1"/>
  <c r="BN43" i="4" s="1"/>
  <c r="BN38" i="4" l="1"/>
  <c r="CF5" i="4" s="1"/>
  <c r="R11" i="4" s="1"/>
  <c r="BN40" i="4"/>
  <c r="BN42" i="4" l="1"/>
</calcChain>
</file>

<file path=xl/sharedStrings.xml><?xml version="1.0" encoding="utf-8"?>
<sst xmlns="http://schemas.openxmlformats.org/spreadsheetml/2006/main" count="817" uniqueCount="577">
  <si>
    <t>Hinweise:</t>
  </si>
  <si>
    <t>Auslegungshilfe für AlphaESS Speichersysteme</t>
  </si>
  <si>
    <t>[Bauvorhaben]</t>
  </si>
  <si>
    <t>Speichersystem</t>
  </si>
  <si>
    <t>Modulverschaltung</t>
  </si>
  <si>
    <t>Bitte stellen Sie Ihr System zusammen:</t>
  </si>
  <si>
    <t>Modultemperatur:</t>
  </si>
  <si>
    <t>Hinweise</t>
  </si>
  <si>
    <t>Zusammenfassung</t>
  </si>
  <si>
    <r>
      <t>Leerlaufspannung U</t>
    </r>
    <r>
      <rPr>
        <vertAlign val="subscript"/>
        <sz val="10"/>
        <color theme="1"/>
        <rFont val="Arial"/>
        <family val="2"/>
      </rPr>
      <t>OC</t>
    </r>
    <r>
      <rPr>
        <sz val="10"/>
        <color theme="1"/>
        <rFont val="Arial"/>
        <family val="2"/>
      </rPr>
      <t>:</t>
    </r>
  </si>
  <si>
    <t>Speicher-Modell:</t>
  </si>
  <si>
    <t>STORION H50 Outdoor (0,5C)</t>
  </si>
  <si>
    <r>
      <t>Spannung U</t>
    </r>
    <r>
      <rPr>
        <vertAlign val="subscript"/>
        <sz val="10"/>
        <color theme="1"/>
        <rFont val="Arial"/>
        <family val="2"/>
      </rPr>
      <t>MPP</t>
    </r>
    <r>
      <rPr>
        <sz val="10"/>
        <color theme="1"/>
        <rFont val="Arial"/>
        <family val="2"/>
      </rPr>
      <t>:</t>
    </r>
  </si>
  <si>
    <t>Batery Ready:</t>
  </si>
  <si>
    <t>nein</t>
  </si>
  <si>
    <t>Speicherkopplung</t>
  </si>
  <si>
    <t>DC Inputs</t>
  </si>
  <si>
    <t>Module DC</t>
  </si>
  <si>
    <t>Module AC</t>
  </si>
  <si>
    <t>PV-Leistung Gesamt</t>
  </si>
  <si>
    <r>
      <t>Strom</t>
    </r>
    <r>
      <rPr>
        <vertAlign val="subscript"/>
        <sz val="10"/>
        <color theme="1"/>
        <rFont val="Arial"/>
        <family val="2"/>
      </rPr>
      <t xml:space="preserve"> NOCT</t>
    </r>
    <r>
      <rPr>
        <sz val="10"/>
        <color theme="1"/>
        <rFont val="Arial"/>
        <family val="2"/>
      </rPr>
      <t>:</t>
    </r>
  </si>
  <si>
    <t>Akku-Modell</t>
  </si>
  <si>
    <t>x</t>
  </si>
  <si>
    <t>M38210-SC 96,8 kWh</t>
  </si>
  <si>
    <t>Leistung NOCT:</t>
  </si>
  <si>
    <t>nutzbare Speicherkapazität:</t>
  </si>
  <si>
    <t>kWh</t>
  </si>
  <si>
    <t>Umpp Max</t>
  </si>
  <si>
    <t>V</t>
  </si>
  <si>
    <t>Ubat Min</t>
  </si>
  <si>
    <t>Ump Min</t>
  </si>
  <si>
    <t>Ubat</t>
  </si>
  <si>
    <t>Bewertung DC-Input 1</t>
  </si>
  <si>
    <t>Bewertung DC-Input 3</t>
  </si>
  <si>
    <t>Uoc Max</t>
  </si>
  <si>
    <t>Max-Akkus</t>
  </si>
  <si>
    <t>AC-Nennleistung:</t>
  </si>
  <si>
    <t>W</t>
  </si>
  <si>
    <t>Maximale PV-Eingangsleistung:</t>
  </si>
  <si>
    <t>Eingangsleistung (25°C)</t>
  </si>
  <si>
    <t>Maximale PV-Leerlaufspannung:</t>
  </si>
  <si>
    <t>MPP-Spannungsbereich</t>
  </si>
  <si>
    <t>hinterlegte Speichersysteme</t>
  </si>
  <si>
    <t>AC-Leistung</t>
  </si>
  <si>
    <t>MPPT(Pmax)</t>
  </si>
  <si>
    <t>MPPT Imax</t>
  </si>
  <si>
    <t>Uoc(max)</t>
  </si>
  <si>
    <t>Uoc(min)</t>
  </si>
  <si>
    <t>Uoc-Range</t>
  </si>
  <si>
    <t>Umpp(max)</t>
  </si>
  <si>
    <t>Umpp(min)</t>
  </si>
  <si>
    <t>Umpp Range</t>
  </si>
  <si>
    <t>Anzahl MPPT</t>
  </si>
  <si>
    <t>Akku</t>
  </si>
  <si>
    <t>WR-Typ</t>
  </si>
  <si>
    <t>Leistung-Netz</t>
  </si>
  <si>
    <t>Leistung-Backup</t>
  </si>
  <si>
    <t>Max. Ladestrom</t>
  </si>
  <si>
    <t>Max. Entladestrom</t>
  </si>
  <si>
    <t>Ubat (min)</t>
  </si>
  <si>
    <t>Boost (30s)</t>
  </si>
  <si>
    <t>PV-MPP-Bereich:</t>
  </si>
  <si>
    <t>max. Leerlaufspng. (-20°C)</t>
  </si>
  <si>
    <t>SMILE-G3-S3.6</t>
  </si>
  <si>
    <t>100-580</t>
  </si>
  <si>
    <t>100-550</t>
  </si>
  <si>
    <t>SMILE-G3-S3.6-INV</t>
  </si>
  <si>
    <t>Anzahl MPP-Tracker</t>
  </si>
  <si>
    <t>Stk</t>
  </si>
  <si>
    <r>
      <t>max. Arbeitsstrom (I</t>
    </r>
    <r>
      <rPr>
        <vertAlign val="subscript"/>
        <sz val="11"/>
        <color theme="1"/>
        <rFont val="Arial"/>
        <family val="2"/>
      </rPr>
      <t>mpp NOCT</t>
    </r>
    <r>
      <rPr>
        <sz val="11"/>
        <color theme="1"/>
        <rFont val="Arial"/>
        <family val="2"/>
      </rPr>
      <t>)</t>
    </r>
  </si>
  <si>
    <t>A</t>
  </si>
  <si>
    <t>SMILE-G3-S5</t>
  </si>
  <si>
    <t>SMILE-G3-S5-INV</t>
  </si>
  <si>
    <t>max. Strom pro MPP-Tracker</t>
  </si>
  <si>
    <t>SMILE-G3-T4</t>
  </si>
  <si>
    <t>140-1000</t>
  </si>
  <si>
    <t>140-950</t>
  </si>
  <si>
    <t>SMILE-G3-T4-INV</t>
  </si>
  <si>
    <t>SMILE-G3-T5</t>
  </si>
  <si>
    <t>SMILE-G3-T5-INV</t>
  </si>
  <si>
    <t>Bewertung DC-Input 2</t>
  </si>
  <si>
    <t>Bewertung DC-Input 4</t>
  </si>
  <si>
    <t>SMILE-G3-T6</t>
  </si>
  <si>
    <t>SMILE-G3-T6-INV</t>
  </si>
  <si>
    <t>Verwendeter PV-Modultyp</t>
  </si>
  <si>
    <t>SMILE-G3-T8</t>
  </si>
  <si>
    <t>SMILE-G3-T8-INV</t>
  </si>
  <si>
    <t>SMILE-G3-T10</t>
  </si>
  <si>
    <t>SMILE-G3-T10-INV</t>
  </si>
  <si>
    <t>SMILE-G3-T12</t>
  </si>
  <si>
    <t>200-1000</t>
  </si>
  <si>
    <t>200-850</t>
  </si>
  <si>
    <t>SMILE-G3-T12-INV</t>
  </si>
  <si>
    <t>Modulhersteller</t>
  </si>
  <si>
    <t>ALPHA ESS</t>
  </si>
  <si>
    <t>SMILE-G3-T15</t>
  </si>
  <si>
    <t>SMILE-G3-T15-INV</t>
  </si>
  <si>
    <t>Typenbezeichnung</t>
  </si>
  <si>
    <t>Eversol DS440</t>
  </si>
  <si>
    <t>SMILE-G3-T20</t>
  </si>
  <si>
    <t>SMILE-G3-T20-INV</t>
  </si>
  <si>
    <t>STORION H29 (M7790-S)</t>
  </si>
  <si>
    <t>250-830</t>
  </si>
  <si>
    <t>200-750</t>
  </si>
  <si>
    <t>PWS2-29P-EX</t>
  </si>
  <si>
    <t>STORION H29 (M38210-SC)</t>
  </si>
  <si>
    <t>Modul Kenndaten</t>
  </si>
  <si>
    <t>STORION H30 (M7790-S)</t>
  </si>
  <si>
    <t>PWS2-30P-EX</t>
  </si>
  <si>
    <t>Schematischer Aufbau der Stromversorgung</t>
  </si>
  <si>
    <t>verfügbare Lade/Entladeleistung</t>
  </si>
  <si>
    <t>STORION H30 (M38210-SC)</t>
  </si>
  <si>
    <t>STORION H50 Indoor (0,5C)</t>
  </si>
  <si>
    <t>250-850</t>
  </si>
  <si>
    <t>INV-G2-H50</t>
  </si>
  <si>
    <t>Nennleistung (Pstc)</t>
  </si>
  <si>
    <t>Wp</t>
  </si>
  <si>
    <t>PV-Wechselrichter</t>
  </si>
  <si>
    <t>Akkuspannung</t>
  </si>
  <si>
    <t>Nennspannung (Umpp)</t>
  </si>
  <si>
    <t>=</t>
  </si>
  <si>
    <t>DC Input</t>
  </si>
  <si>
    <t>&lt;</t>
  </si>
  <si>
    <t>Laden DC</t>
  </si>
  <si>
    <t>Akkuladestrom</t>
  </si>
  <si>
    <t>Nennstrom (Impp)</t>
  </si>
  <si>
    <t>Entladen AC</t>
  </si>
  <si>
    <t>Akkumodule</t>
  </si>
  <si>
    <t>SMILE 5 (2021)</t>
  </si>
  <si>
    <t>125-580</t>
  </si>
  <si>
    <t>125-550</t>
  </si>
  <si>
    <t>SMILE5-INV</t>
  </si>
  <si>
    <t>Leerlaufspannung (Uoc)</t>
  </si>
  <si>
    <t>~</t>
  </si>
  <si>
    <t>aktiv:</t>
  </si>
  <si>
    <t>ja</t>
  </si>
  <si>
    <t>Entladen (30s)</t>
  </si>
  <si>
    <t>Akkuleistung</t>
  </si>
  <si>
    <t>SMILE-Hi5</t>
  </si>
  <si>
    <t>SMILE-S6-HV-INV</t>
  </si>
  <si>
    <t>Kurzschlussstrom (Isc)</t>
  </si>
  <si>
    <t>Anzeige:</t>
  </si>
  <si>
    <t>WR-Ladestrom</t>
  </si>
  <si>
    <t>SMILE-Hi10</t>
  </si>
  <si>
    <t>SMILE -T10-HV-INV</t>
  </si>
  <si>
    <t>WR-Akkuspg</t>
  </si>
  <si>
    <t>Storion S5</t>
  </si>
  <si>
    <t>GW5048D-ES</t>
  </si>
  <si>
    <t>Temperaturkoeffizienten:</t>
  </si>
  <si>
    <t>WR-Ladeleistung</t>
  </si>
  <si>
    <t>Storion T5</t>
  </si>
  <si>
    <t>300-800</t>
  </si>
  <si>
    <t>280-700</t>
  </si>
  <si>
    <t>AHT-05150</t>
  </si>
  <si>
    <t>Meter 2</t>
  </si>
  <si>
    <t>WR-Solarleistung</t>
  </si>
  <si>
    <t>Storion OF5</t>
  </si>
  <si>
    <t>300-900</t>
  </si>
  <si>
    <t>250-800</t>
  </si>
  <si>
    <t>AEV-5048</t>
  </si>
  <si>
    <t>Leistung (Pmax)</t>
  </si>
  <si>
    <t>% / K</t>
  </si>
  <si>
    <t>öffentliches Netz</t>
  </si>
  <si>
    <t>SMILE-i3</t>
  </si>
  <si>
    <t>SMILEB3-INV</t>
  </si>
  <si>
    <t>Haushalt</t>
  </si>
  <si>
    <t>SMILE T10 (2021)</t>
  </si>
  <si>
    <t>180-1000</t>
  </si>
  <si>
    <t>SMILE T10-INV</t>
  </si>
  <si>
    <t>Meter 1</t>
  </si>
  <si>
    <t>WR-Netzleistung</t>
  </si>
  <si>
    <t>Storion T30</t>
  </si>
  <si>
    <t>-</t>
  </si>
  <si>
    <t>WR-Boostleistung</t>
  </si>
  <si>
    <t>Storion T50</t>
  </si>
  <si>
    <t>500-900</t>
  </si>
  <si>
    <t>520-800</t>
  </si>
  <si>
    <t>Storion T100</t>
  </si>
  <si>
    <t>Empfehlung für Eigenversorgung</t>
  </si>
  <si>
    <t>Strombedarf p.a.</t>
  </si>
  <si>
    <t>Ø tgl. Strombedarf</t>
  </si>
  <si>
    <t>davon nach Sonnenuntergang</t>
  </si>
  <si>
    <t>%</t>
  </si>
  <si>
    <t>(Standardeinstellung ca. 40%)</t>
  </si>
  <si>
    <t>Hersteller</t>
  </si>
  <si>
    <t>Bezeichnung</t>
  </si>
  <si>
    <t>Pstc (Wp)</t>
  </si>
  <si>
    <t>Umpp (V)</t>
  </si>
  <si>
    <t>Impp (I)</t>
  </si>
  <si>
    <t>Uoc (V)</t>
  </si>
  <si>
    <t>Isc (I)</t>
  </si>
  <si>
    <t>TKp (%)</t>
  </si>
  <si>
    <t>TKu(%)</t>
  </si>
  <si>
    <t>TKi (%)</t>
  </si>
  <si>
    <t>Vorauswahl</t>
  </si>
  <si>
    <t>Zeile</t>
  </si>
  <si>
    <t>spezifischer PV-Ertrag</t>
  </si>
  <si>
    <t>kWh/kWp</t>
  </si>
  <si>
    <t>+</t>
  </si>
  <si>
    <t>empf. Anlagengröße min.</t>
  </si>
  <si>
    <t>kWp</t>
  </si>
  <si>
    <t>empf. Speichergröße min.</t>
  </si>
  <si>
    <r>
      <t xml:space="preserve">Die Parameter dieser Auslegungshilfe entsprechen üblichen Annahmen für Gebiete mit gemäßigtem Klima und Höhen zwischen 0 und 1000m. Die realen Betriebsparameter können im Einzelfall vom Modell abweichen. 
</t>
    </r>
    <r>
      <rPr>
        <b/>
        <sz val="11"/>
        <color theme="1"/>
        <rFont val="Arial"/>
        <family val="2"/>
      </rPr>
      <t>Die örtlichen Gegebenheiten (Ausrichtung des Generators, klimatische Bedingungen, etc.) müssen vom Planer geprüft und berücksichtigt werden!</t>
    </r>
    <r>
      <rPr>
        <sz val="11"/>
        <color theme="1"/>
        <rFont val="Arial"/>
        <family val="2"/>
      </rPr>
      <t xml:space="preserve"> 
Die technischen Daten der hinterlegten Speichersysteme entsprechen dem Kenntnisstand zum Datum der Veröffentlichung. Irrtümer und Fehler sind vorbehalten.</t>
    </r>
  </si>
  <si>
    <t>System</t>
  </si>
  <si>
    <t>Spannung (V)</t>
  </si>
  <si>
    <t>Ladung (A)</t>
  </si>
  <si>
    <t>Entladung (A)</t>
  </si>
  <si>
    <t>Entladung Backup (A)</t>
  </si>
  <si>
    <t>Kapazität Brutto</t>
  </si>
  <si>
    <t>Kapazität Netto</t>
  </si>
  <si>
    <t>Cel</t>
  </si>
  <si>
    <t>Deutsch</t>
  </si>
  <si>
    <t>Nederlands</t>
  </si>
  <si>
    <t>Français</t>
  </si>
  <si>
    <t>English</t>
  </si>
  <si>
    <t>$B$2</t>
  </si>
  <si>
    <t>Ontwerphulp voor AlphaESS batterijsystemen</t>
  </si>
  <si>
    <t>Outil de conception des systèmes de batteries AlphaESS</t>
  </si>
  <si>
    <t>Design tool for AlphaESS battery systems</t>
  </si>
  <si>
    <t>$AT$2</t>
  </si>
  <si>
    <t>Bezichnung des Bauvorhabens</t>
  </si>
  <si>
    <t>Omschrijving van het project</t>
  </si>
  <si>
    <t>Description du projet</t>
  </si>
  <si>
    <t>Description of the project</t>
  </si>
  <si>
    <t>$E$7</t>
  </si>
  <si>
    <t>Batterij systeem</t>
  </si>
  <si>
    <t>Système</t>
  </si>
  <si>
    <t>Battery system</t>
  </si>
  <si>
    <t>$A$9</t>
  </si>
  <si>
    <t>Bitte stellen Sie Ihr System zusammen</t>
  </si>
  <si>
    <t>Gelieve uw systeem samen te stellen</t>
  </si>
  <si>
    <t>Veuillez composer votre système</t>
  </si>
  <si>
    <t>Please compose your system</t>
  </si>
  <si>
    <t>$A$11</t>
  </si>
  <si>
    <t>Speicher-Modell</t>
  </si>
  <si>
    <t>Modèle</t>
  </si>
  <si>
    <t>$A$12</t>
  </si>
  <si>
    <t>Batterij type</t>
  </si>
  <si>
    <t>Type de batterie</t>
  </si>
  <si>
    <t>Battery type</t>
  </si>
  <si>
    <t>$A$14</t>
  </si>
  <si>
    <t>Nutzbare Speicherkapazität</t>
  </si>
  <si>
    <t>Bruikbare opslagcapaciteit</t>
  </si>
  <si>
    <t>Capacité de stockage utilisable</t>
  </si>
  <si>
    <t>Usable storage capacity</t>
  </si>
  <si>
    <t>$A$16</t>
  </si>
  <si>
    <t>Technische Daten</t>
  </si>
  <si>
    <t>Technische gegevens</t>
  </si>
  <si>
    <t>Données techniques</t>
  </si>
  <si>
    <t>Technical details</t>
  </si>
  <si>
    <t>$A$17</t>
  </si>
  <si>
    <t>AC-Nennleistung</t>
  </si>
  <si>
    <t>Nominaal AC vermogen</t>
  </si>
  <si>
    <t>Puissance nominale AC</t>
  </si>
  <si>
    <t>Rated AC power</t>
  </si>
  <si>
    <t>$A$18</t>
  </si>
  <si>
    <t>Maximale PV-Eingangsleistung</t>
  </si>
  <si>
    <t>Maximaal PV-ingangsvermogen</t>
  </si>
  <si>
    <t>Puissance d'entrée PV maximale</t>
  </si>
  <si>
    <t>Maximum PV input power</t>
  </si>
  <si>
    <t>$A$19</t>
  </si>
  <si>
    <t>Maximale PV-Leerlaufspannu</t>
  </si>
  <si>
    <t>Maximale PV nullastspanning</t>
  </si>
  <si>
    <t>Tension PV maximale</t>
  </si>
  <si>
    <t>Maximum PV no-load voltage</t>
  </si>
  <si>
    <t>$A$20</t>
  </si>
  <si>
    <t>PV-MPP-Bereich</t>
  </si>
  <si>
    <t>PV-MPP-Bereik</t>
  </si>
  <si>
    <t>Champ PV-MPP</t>
  </si>
  <si>
    <t>PV-MPP range</t>
  </si>
  <si>
    <t>$A$21</t>
  </si>
  <si>
    <t>Aantal MPP-trackers</t>
  </si>
  <si>
    <t>Nombre de trackers MPP</t>
  </si>
  <si>
    <t>Number of MPP trackers</t>
  </si>
  <si>
    <t>$A$22</t>
  </si>
  <si>
    <t>Max. Strom pro MPP-Tracker</t>
  </si>
  <si>
    <t>Maximale stroom per MPP-tracker</t>
  </si>
  <si>
    <t>Le flux maximum par MPP Tracker</t>
  </si>
  <si>
    <t>Maximum power per MPP tracker</t>
  </si>
  <si>
    <t>$D$26</t>
  </si>
  <si>
    <t>Gebruikt type PV-paneel</t>
  </si>
  <si>
    <t>Type de panneau photovoltaïque utilisé</t>
  </si>
  <si>
    <t>Type of PV panel used</t>
  </si>
  <si>
    <t>$A$29</t>
  </si>
  <si>
    <t>Fabrikant van de panelen</t>
  </si>
  <si>
    <t>Fabricant des panneaux</t>
  </si>
  <si>
    <t>Manufacterer of the panels</t>
  </si>
  <si>
    <t>$A$30</t>
  </si>
  <si>
    <t>Type-aanduiding</t>
  </si>
  <si>
    <t>Désignation</t>
  </si>
  <si>
    <t>Type designation</t>
  </si>
  <si>
    <t>$E$33</t>
  </si>
  <si>
    <t>Kenmerken van het PV paneel</t>
  </si>
  <si>
    <t>Caractéristiques du panneau photovoltaïque</t>
  </si>
  <si>
    <t>Characteristics of the PV panel</t>
  </si>
  <si>
    <t>$A$36</t>
  </si>
  <si>
    <t>Nennleistung</t>
  </si>
  <si>
    <t>Nominaal vermogen</t>
  </si>
  <si>
    <t>Puissance nominale</t>
  </si>
  <si>
    <t>Rated power</t>
  </si>
  <si>
    <t>$A$38</t>
  </si>
  <si>
    <t>Nennspannung</t>
  </si>
  <si>
    <t>Nominale spanning</t>
  </si>
  <si>
    <t>Tension nominale</t>
  </si>
  <si>
    <t>Rated voltage</t>
  </si>
  <si>
    <t>$A$39</t>
  </si>
  <si>
    <t>Nennstrom</t>
  </si>
  <si>
    <t>Nominale stroom</t>
  </si>
  <si>
    <t>Flux nominale</t>
  </si>
  <si>
    <t>Rated current</t>
  </si>
  <si>
    <t>$A$49</t>
  </si>
  <si>
    <t>Leerlaufspannung</t>
  </si>
  <si>
    <t>Open circuit spanning</t>
  </si>
  <si>
    <t>Tension de circuit ouvert</t>
  </si>
  <si>
    <t>Open circuit voltage</t>
  </si>
  <si>
    <t>$A$41</t>
  </si>
  <si>
    <t>Kurzschlussstrom</t>
  </si>
  <si>
    <t>Kortsluitstroom</t>
  </si>
  <si>
    <t>Courant de court-circuit</t>
  </si>
  <si>
    <t>Short-circuit power</t>
  </si>
  <si>
    <t>$A$43</t>
  </si>
  <si>
    <t>Temperaturkoeffizienten</t>
  </si>
  <si>
    <t>Temperatuurcoëfficiënten</t>
  </si>
  <si>
    <t>Coefficients de température</t>
  </si>
  <si>
    <t>Temperature coefficients</t>
  </si>
  <si>
    <t>$A$45</t>
  </si>
  <si>
    <t>Leistung</t>
  </si>
  <si>
    <t>Prestatie</t>
  </si>
  <si>
    <t>Performance</t>
  </si>
  <si>
    <t>$A$46</t>
  </si>
  <si>
    <t>$A$47</t>
  </si>
  <si>
    <t>$D$50</t>
  </si>
  <si>
    <t>Aanbeveling voor eigenverbruik</t>
  </si>
  <si>
    <t>Recommandation pour la consommation propre</t>
  </si>
  <si>
    <t>Recommendation for self consumption</t>
  </si>
  <si>
    <t>$A$53</t>
  </si>
  <si>
    <t>Strombedarf</t>
  </si>
  <si>
    <t>Energieverbruik</t>
  </si>
  <si>
    <t>Consommation d'énergie</t>
  </si>
  <si>
    <t>Energy consumption</t>
  </si>
  <si>
    <t>$A$54</t>
  </si>
  <si>
    <t>tgl. Strombedarf</t>
  </si>
  <si>
    <t>gemiddeld dagelijks stroomverbruik</t>
  </si>
  <si>
    <t>la consommation quotidienne moyenne d'électricité</t>
  </si>
  <si>
    <t>Average daily power consumption</t>
  </si>
  <si>
    <t>$A$55</t>
  </si>
  <si>
    <t>Davon nach Sonnenuntergang</t>
  </si>
  <si>
    <t>Waarvan na zonsondergang</t>
  </si>
  <si>
    <t>Dont après le coucher du soleil</t>
  </si>
  <si>
    <t>Of which after sunset</t>
  </si>
  <si>
    <t>$A$56</t>
  </si>
  <si>
    <t>Standardeinstellung ca 40%</t>
  </si>
  <si>
    <t>standaard op 40% ingesteld</t>
  </si>
  <si>
    <t>fixé à 40% par défaut</t>
  </si>
  <si>
    <t>Set to 40% by default</t>
  </si>
  <si>
    <t>$A$57</t>
  </si>
  <si>
    <t>Specifiek PV Rendement</t>
  </si>
  <si>
    <t>Rendement PV spécifique</t>
  </si>
  <si>
    <t>Specific PV efficiency</t>
  </si>
  <si>
    <t>$A$59</t>
  </si>
  <si>
    <t xml:space="preserve">Empfohlen Anlagengröße </t>
  </si>
  <si>
    <t>Aanbevolen installatiegrootte</t>
  </si>
  <si>
    <t>Taille d'installation recommandée</t>
  </si>
  <si>
    <t>Recommended installation size</t>
  </si>
  <si>
    <t>$A$69</t>
  </si>
  <si>
    <t>Empfohlen Speichergröße</t>
  </si>
  <si>
    <t>Aanbevolen batterij grootte</t>
  </si>
  <si>
    <t>Taille de batterie recommandée</t>
  </si>
  <si>
    <t>Recommended battery size</t>
  </si>
  <si>
    <t>$A$T7</t>
  </si>
  <si>
    <t>Module aansluiting</t>
  </si>
  <si>
    <t>Connexion des modules</t>
  </si>
  <si>
    <t>Module connection</t>
  </si>
  <si>
    <t>$AB$10</t>
  </si>
  <si>
    <t>Opmerking</t>
  </si>
  <si>
    <t>Remarque</t>
  </si>
  <si>
    <t>Remark</t>
  </si>
  <si>
    <t>$AB$18</t>
  </si>
  <si>
    <t>Resultat</t>
  </si>
  <si>
    <t>Resultaat</t>
  </si>
  <si>
    <t>Résultat</t>
  </si>
  <si>
    <t>Result</t>
  </si>
  <si>
    <t>$S$20</t>
  </si>
  <si>
    <t>Eingangsleistung</t>
  </si>
  <si>
    <t>Ingangsvermogen</t>
  </si>
  <si>
    <t>Puissance d'entrée</t>
  </si>
  <si>
    <t>Input power</t>
  </si>
  <si>
    <t>$S$21</t>
  </si>
  <si>
    <t>MPP-Spanningsbereik</t>
  </si>
  <si>
    <t>MPP Gamme de tension</t>
  </si>
  <si>
    <t>MPP voltage range</t>
  </si>
  <si>
    <t>$S$22</t>
  </si>
  <si>
    <t>Max. Leerlaufsspannung</t>
  </si>
  <si>
    <t>Maximale open circuit spanning</t>
  </si>
  <si>
    <t>Tension maximale en circuit ouvert</t>
  </si>
  <si>
    <t>Maximum open circuit voltage</t>
  </si>
  <si>
    <t>$A$23</t>
  </si>
  <si>
    <t>Max. Arbeitsstrom</t>
  </si>
  <si>
    <t>Maximale stroom</t>
  </si>
  <si>
    <t xml:space="preserve">Courant maximal </t>
  </si>
  <si>
    <t>Maximum power</t>
  </si>
  <si>
    <t>$BG$10</t>
  </si>
  <si>
    <t>Samenvatting</t>
  </si>
  <si>
    <t>Résumé</t>
  </si>
  <si>
    <t>Summary</t>
  </si>
  <si>
    <t>$AS$12</t>
  </si>
  <si>
    <t>Module in AC-Kopplung</t>
  </si>
  <si>
    <t>Module in AC-koppeling</t>
  </si>
  <si>
    <t>Module connexion AC</t>
  </si>
  <si>
    <t>Module in AC coupling</t>
  </si>
  <si>
    <t>$BD$12</t>
  </si>
  <si>
    <t>Module Gesamt</t>
  </si>
  <si>
    <t>Modules totaal</t>
  </si>
  <si>
    <t>Total des modules</t>
  </si>
  <si>
    <t>Total modules</t>
  </si>
  <si>
    <t>$BL$12</t>
  </si>
  <si>
    <t>DC-Eingänge</t>
  </si>
  <si>
    <t>DC-ingangen</t>
  </si>
  <si>
    <t>Entrées DC</t>
  </si>
  <si>
    <t>DC inputs</t>
  </si>
  <si>
    <t>$BS$12</t>
  </si>
  <si>
    <t>Totale PV-output</t>
  </si>
  <si>
    <t>Production totale de PV</t>
  </si>
  <si>
    <t>Total PV output</t>
  </si>
  <si>
    <t>$BG$18</t>
  </si>
  <si>
    <t>String-Design A</t>
  </si>
  <si>
    <t>String Ontwerp A</t>
  </si>
  <si>
    <t>String Design A</t>
  </si>
  <si>
    <t>$BW$18</t>
  </si>
  <si>
    <t>aktivieren</t>
  </si>
  <si>
    <t>activeren</t>
  </si>
  <si>
    <t>activer</t>
  </si>
  <si>
    <t>Activate</t>
  </si>
  <si>
    <t>$AS$20</t>
  </si>
  <si>
    <t>Anzahl Module in Strang</t>
  </si>
  <si>
    <t>Aantal modulen in string</t>
  </si>
  <si>
    <t>Nombre de modules dans le string</t>
  </si>
  <si>
    <t>Number of modules in string</t>
  </si>
  <si>
    <t>$BC$20</t>
  </si>
  <si>
    <t>Anzahl Stränge parallel</t>
  </si>
  <si>
    <t>Aantal strings parallel</t>
  </si>
  <si>
    <t>Nombre de strings parallèles</t>
  </si>
  <si>
    <t>Number of strings in parallel</t>
  </si>
  <si>
    <t>$BL$20</t>
  </si>
  <si>
    <t>Anzahl belegter DC-Eingänge</t>
  </si>
  <si>
    <t>Aantal bezette DC-ingangen</t>
  </si>
  <si>
    <t>Nombre d'entrées DC occupées</t>
  </si>
  <si>
    <t>Number DC inputs taken</t>
  </si>
  <si>
    <t>$BW$20</t>
  </si>
  <si>
    <t>Summe Module</t>
  </si>
  <si>
    <t>Totaal aantal panelen</t>
  </si>
  <si>
    <t>Nombre total de panels</t>
  </si>
  <si>
    <t>Total number of inputs</t>
  </si>
  <si>
    <t>$BG$26</t>
  </si>
  <si>
    <t>String-Design B</t>
  </si>
  <si>
    <t>String Ontwerp B</t>
  </si>
  <si>
    <t>String Design B</t>
  </si>
  <si>
    <t>String design B</t>
  </si>
  <si>
    <t>$AF$35</t>
  </si>
  <si>
    <t>Schematische opbouw van de stroomvoorziening</t>
  </si>
  <si>
    <t>Structure schématique</t>
  </si>
  <si>
    <t>Schematic structure of the power supply</t>
  </si>
  <si>
    <t>$R$45</t>
  </si>
  <si>
    <t>Openbaar Net</t>
  </si>
  <si>
    <t>Réseaux publics</t>
  </si>
  <si>
    <t>Public grid</t>
  </si>
  <si>
    <t>$AC$52</t>
  </si>
  <si>
    <t>Verbraucher</t>
  </si>
  <si>
    <t>Verbruikers</t>
  </si>
  <si>
    <t>Consommateurs</t>
  </si>
  <si>
    <t>Users</t>
  </si>
  <si>
    <t>$AJ$38</t>
  </si>
  <si>
    <t>Externer PV-Wechselrichter</t>
  </si>
  <si>
    <t>Externe PV-Omvormer</t>
  </si>
  <si>
    <t>Onduleur PV externe</t>
  </si>
  <si>
    <t>External PV inverter</t>
  </si>
  <si>
    <t>$BO$35</t>
  </si>
  <si>
    <t>Verfügbare Lade/Entladeleistung</t>
  </si>
  <si>
    <t>Beschikbare laad-/ontlaadcapaciteit</t>
  </si>
  <si>
    <t>Capacité de charge/décharge disponible</t>
  </si>
  <si>
    <t>Available charge/discharge power</t>
  </si>
  <si>
    <t>$BP$54</t>
  </si>
  <si>
    <t>Netz</t>
  </si>
  <si>
    <t>Net</t>
  </si>
  <si>
    <t>Réseau</t>
  </si>
  <si>
    <t>Grid</t>
  </si>
  <si>
    <t>$BX$54</t>
  </si>
  <si>
    <t>Backup</t>
  </si>
  <si>
    <t>$BP$55</t>
  </si>
  <si>
    <t xml:space="preserve">Laden </t>
  </si>
  <si>
    <t>Laden</t>
  </si>
  <si>
    <t>Charger</t>
  </si>
  <si>
    <t>Charge</t>
  </si>
  <si>
    <t>$BS$55</t>
  </si>
  <si>
    <t>Entladen</t>
  </si>
  <si>
    <t>Ontladen</t>
  </si>
  <si>
    <t>Décharger</t>
  </si>
  <si>
    <t>Discharge</t>
  </si>
  <si>
    <t>st</t>
  </si>
  <si>
    <t>pcs</t>
  </si>
  <si>
    <t>Oui</t>
  </si>
  <si>
    <t>Yes</t>
  </si>
  <si>
    <t>neen</t>
  </si>
  <si>
    <t>Non</t>
  </si>
  <si>
    <t>No</t>
  </si>
  <si>
    <t>$Q$58</t>
  </si>
  <si>
    <t>Die Parameter dieser Auslegungshilfe…</t>
  </si>
  <si>
    <t>De parameters van deze ontwerphulp houden rekening met aannames mbt de locatie, een gematigd klimaat en hoogtes tussen 0 en 1000m.  De reële werkingsparameters kunnen dus van dit model afwijken.</t>
  </si>
  <si>
    <t>Les paramètres de cette outil de conception prennent en compte les hypothèses du site, le climat tempéré et les altitudes comprises entre 0 et 1000m.  Les paramètres de fonctionnement réels peuvent donc varier de ce modèle.</t>
  </si>
  <si>
    <t>The parameters of this design tool take into account site assumptions, moderate climate and altitudes between 0 and 1000m.  The actual operating parameters may therefore deviate from this model.</t>
  </si>
  <si>
    <t>$Q$60</t>
  </si>
  <si>
    <t>Die örtlichen Gegebenheiten…</t>
  </si>
  <si>
    <t>De omgevingsparamaters (oriëntatie van de PV panelen, klimatologische omstandigheden, etc) moeten door de ontwerper in rekening gebracht worden !</t>
  </si>
  <si>
    <t>Les paramètres environnementaux (orientation des panneaux PV, conditions climatiques, etc.) doivent être pris en compte par le concepteur !</t>
  </si>
  <si>
    <t>The environmental parameters (orientation of the PV panels, climate conditions, etc) must be taken into account by the designer !</t>
  </si>
  <si>
    <t>$Q$61</t>
  </si>
  <si>
    <t>Die technische Daten..</t>
  </si>
  <si>
    <t>De technische gegevens van de opslagsystemen zijn deze zoals deze op de datum van het uitbrengen van de tool bekend waren.  Onder voorbehoud van fouten.</t>
  </si>
  <si>
    <t>Les données techniques des systèmes de stockage sont telles qu'elles étaient connues à la date de lancement de l'outil.  Sous réserve d'erreurs.</t>
  </si>
  <si>
    <t>The technical data of the storage systems are as they were known on the date of release of the tool.  Subject to errors.</t>
  </si>
  <si>
    <t>Impp (A)</t>
  </si>
  <si>
    <t>Isc (A)</t>
  </si>
  <si>
    <t>Umrechner für Temperaturkoeffizenten</t>
  </si>
  <si>
    <t>BauerSolartechnik</t>
  </si>
  <si>
    <t>BS-310-6MB5-EL</t>
  </si>
  <si>
    <t>BS-320-6MB5-EL</t>
  </si>
  <si>
    <t>Bezugswerte</t>
  </si>
  <si>
    <t>absolut</t>
  </si>
  <si>
    <t>Ergebnis</t>
  </si>
  <si>
    <t>BS-320-6MBB5-GG</t>
  </si>
  <si>
    <t>BS-330-6MBB5-GG</t>
  </si>
  <si>
    <t>BS-330-6MBHB5-EL-FB</t>
  </si>
  <si>
    <t>BS-335-6MHB5-EL</t>
  </si>
  <si>
    <t>BS-340-6MHB5-EL</t>
  </si>
  <si>
    <t>Sollten die Temperaturkoeffizienten im Datenblatt nicht in %/K angegeben sein, können Sie sie hier umrechnen.</t>
  </si>
  <si>
    <t>BS-365-6MHB5</t>
  </si>
  <si>
    <t>BS-370-M6HBB-GG</t>
  </si>
  <si>
    <t>BS-370-6MBH5-EL</t>
  </si>
  <si>
    <t>BS-375-6MHB5</t>
  </si>
  <si>
    <t>BS-380-M6HBB-GG</t>
  </si>
  <si>
    <t>BS-405-M10HB</t>
  </si>
  <si>
    <t>BS-108M10HBB-GG</t>
  </si>
  <si>
    <t>Solyco</t>
  </si>
  <si>
    <t>R-WG 120n/340</t>
  </si>
  <si>
    <t>R-BG 120n/340</t>
  </si>
  <si>
    <t>R-TG 120n/340</t>
  </si>
  <si>
    <t>R-BF 120p.2/365</t>
  </si>
  <si>
    <t>R-TG 120n/340 bifazial</t>
  </si>
  <si>
    <t>R-WF 108p.3/400</t>
  </si>
  <si>
    <t>R-WF 120p./370</t>
  </si>
  <si>
    <t>SolarFabrik</t>
  </si>
  <si>
    <t>Mono S3 - Halfcut 375</t>
  </si>
  <si>
    <t>Mono S4 - Halfcut 395</t>
  </si>
  <si>
    <t>Trina Solar</t>
  </si>
  <si>
    <t>Vertex S 405</t>
  </si>
  <si>
    <t>Sunpro</t>
  </si>
  <si>
    <t>M10 HIEFF</t>
  </si>
  <si>
    <t xml:space="preserve">Canadian </t>
  </si>
  <si>
    <t>CS6R-420-440T</t>
  </si>
  <si>
    <t>Entladetiefe</t>
  </si>
  <si>
    <t>SMILE-G3-BAT-3.8S</t>
  </si>
  <si>
    <t>SMILE-i3-BAT-2.75</t>
  </si>
  <si>
    <t>SMILE-Hi5/10-BAT-7.8</t>
  </si>
  <si>
    <t>SMILE-Hi5-BAT-4.8</t>
  </si>
  <si>
    <t>M7790-S</t>
  </si>
  <si>
    <t>M38210-SC</t>
  </si>
  <si>
    <t>M38210-SC 105 kWh</t>
  </si>
  <si>
    <t>STORION T30</t>
  </si>
  <si>
    <t>M48112-S</t>
  </si>
  <si>
    <t>SMILE5-BAT</t>
  </si>
  <si>
    <t>M4856-P</t>
  </si>
  <si>
    <t>M4856-S</t>
  </si>
  <si>
    <t>SMILE5-BAT-5.8P</t>
  </si>
  <si>
    <t>STORION T50</t>
  </si>
  <si>
    <t>STORION T100</t>
  </si>
  <si>
    <t>Stand: 28. März 2025</t>
  </si>
  <si>
    <t>Hybrid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</si>
</sst>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  <numFmt numFmtId="165" formatCode="0.0"/>
    <numFmt numFmtId="166" formatCode="0.00\ \V"/>
    <numFmt numFmtId="167" formatCode="0.00\ \A"/>
    <numFmt numFmtId="168" formatCode="0\ \W\p"/>
    <numFmt numFmtId="169" formatCode="0\ &quot;mV/K&quot;"/>
    <numFmt numFmtId="170" formatCode="0.00\ &quot;mA/K&quot;"/>
    <numFmt numFmtId="171" formatCode="0.00\ &quot;W/K&quot;"/>
    <numFmt numFmtId="172" formatCode="0.00\ %&quot;/K&quot;"/>
    <numFmt numFmtId="173" formatCode="0.000"/>
    <numFmt numFmtId="174" formatCode="0.0000"/>
    <numFmt numFmtId="175" formatCode="0.0\ &quot;kW&quot;"/>
    <numFmt numFmtId="176" formatCode="#,##0.00\ \k\W\p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1"/>
      <name val="Arial"/>
      <family val="2"/>
    </font>
    <font>
      <b/>
      <sz val="17"/>
      <color theme="0"/>
      <name val="Arial"/>
      <family val="2"/>
    </font>
    <font>
      <b/>
      <sz val="17"/>
      <color theme="1"/>
      <name val="Arial"/>
      <family val="2"/>
    </font>
    <font>
      <sz val="12"/>
      <color theme="0"/>
      <name val="Arial"/>
      <family val="2"/>
    </font>
    <font>
      <sz val="10"/>
      <color theme="1"/>
      <name val="Arial"/>
      <family val="2"/>
    </font>
    <font>
      <b/>
      <sz val="12"/>
      <color theme="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0"/>
      <color theme="1"/>
      <name val="Arial"/>
      <family val="2"/>
    </font>
    <font>
      <b/>
      <sz val="10"/>
      <color rgb="FF9C6500"/>
      <name val="Arial"/>
      <family val="2"/>
    </font>
    <font>
      <b/>
      <sz val="20"/>
      <color theme="1"/>
      <name val="Arial"/>
      <family val="2"/>
    </font>
    <font>
      <sz val="20"/>
      <color theme="1"/>
      <name val="Arial"/>
      <family val="2"/>
    </font>
    <font>
      <b/>
      <sz val="10"/>
      <color rgb="FF9C0006"/>
      <name val="Arial"/>
      <family val="2"/>
    </font>
    <font>
      <i/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36"/>
      <color theme="1"/>
      <name val="Arial"/>
      <family val="2"/>
    </font>
    <font>
      <b/>
      <sz val="11"/>
      <color theme="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Arial"/>
      <family val="2"/>
    </font>
    <font>
      <sz val="30"/>
      <color theme="1"/>
      <name val="Arial"/>
      <family val="2"/>
    </font>
    <font>
      <sz val="11"/>
      <name val="Arial"/>
      <family val="2"/>
    </font>
    <font>
      <vertAlign val="subscript"/>
      <sz val="11"/>
      <color theme="1"/>
      <name val="Arial"/>
      <family val="2"/>
    </font>
    <font>
      <sz val="11"/>
      <color rgb="FFFF0000"/>
      <name val="Arial"/>
      <family val="2"/>
    </font>
    <font>
      <b/>
      <sz val="17"/>
      <color theme="1" tint="0.249977111117893"/>
      <name val="Arial"/>
      <family val="2"/>
    </font>
    <font>
      <sz val="11"/>
      <color theme="1" tint="0.249977111117893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1"/>
      <color theme="1"/>
      <name val="Arial"/>
      <family val="2"/>
    </font>
    <font>
      <i/>
      <sz val="11"/>
      <color rgb="FFFF0000"/>
      <name val="Arial"/>
      <family val="2"/>
    </font>
    <font>
      <i/>
      <sz val="10"/>
      <color theme="0"/>
      <name val="Arial"/>
      <family val="2"/>
    </font>
    <font>
      <i/>
      <sz val="11"/>
      <color theme="0"/>
      <name val="Arial"/>
      <family val="2"/>
    </font>
    <font>
      <i/>
      <sz val="9"/>
      <color theme="0"/>
      <name val="Arial"/>
      <family val="2"/>
    </font>
    <font>
      <b/>
      <sz val="16"/>
      <color theme="1"/>
      <name val="Arial"/>
      <family val="2"/>
    </font>
    <font>
      <b/>
      <sz val="16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3F3F3F"/>
        <bgColor indexed="64"/>
      </patternFill>
    </fill>
    <fill>
      <patternFill patternType="solid">
        <fgColor rgb="FF6E6E6E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71B326"/>
        <bgColor indexed="64"/>
      </patternFill>
    </fill>
  </fills>
  <borders count="8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dotted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indexed="64"/>
      </right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medium">
        <color indexed="64"/>
      </top>
      <bottom/>
      <diagonal/>
    </border>
    <border>
      <left/>
      <right style="thin">
        <color theme="0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 diagonalUp="1">
      <left/>
      <right style="medium">
        <color indexed="64"/>
      </right>
      <top style="medium">
        <color indexed="64"/>
      </top>
      <bottom/>
      <diagonal style="medium">
        <color indexed="64"/>
      </diagonal>
    </border>
    <border diagonalUp="1">
      <left/>
      <right/>
      <top/>
      <bottom/>
      <diagonal style="medium">
        <color indexed="64"/>
      </diagonal>
    </border>
    <border diagonalDown="1">
      <left/>
      <right/>
      <top/>
      <bottom/>
      <diagonal style="medium">
        <color indexed="64"/>
      </diagonal>
    </border>
    <border diagonalUp="1">
      <left/>
      <right/>
      <top style="medium">
        <color indexed="64"/>
      </top>
      <bottom/>
      <diagonal style="medium">
        <color indexed="64"/>
      </diagonal>
    </border>
    <border diagonalUp="1">
      <left/>
      <right style="medium">
        <color indexed="64"/>
      </right>
      <top/>
      <bottom/>
      <diagonal style="medium">
        <color indexed="64"/>
      </diagonal>
    </border>
    <border diagonalUp="1">
      <left style="medium">
        <color indexed="64"/>
      </left>
      <right/>
      <top/>
      <bottom style="medium">
        <color indexed="64"/>
      </bottom>
      <diagonal style="medium">
        <color indexed="64"/>
      </diagonal>
    </border>
    <border diagonalUp="1">
      <left style="medium">
        <color indexed="64"/>
      </left>
      <right/>
      <top/>
      <bottom/>
      <diagonal style="medium">
        <color indexed="64"/>
      </diagonal>
    </border>
    <border diagonalUp="1">
      <left/>
      <right/>
      <top/>
      <bottom style="medium">
        <color indexed="64"/>
      </bottom>
      <diagonal style="medium">
        <color indexed="64"/>
      </diagonal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</cellStyleXfs>
  <cellXfs count="334">
    <xf numFmtId="0" fontId="0" fillId="0" borderId="0" xfId="0"/>
    <xf numFmtId="0" fontId="5" fillId="5" borderId="0" xfId="0" applyFont="1" applyFill="1" applyProtection="1">
      <protection hidden="1"/>
    </xf>
    <xf numFmtId="0" fontId="5" fillId="6" borderId="0" xfId="0" applyFont="1" applyFill="1" applyProtection="1">
      <protection hidden="1"/>
    </xf>
    <xf numFmtId="0" fontId="5" fillId="7" borderId="0" xfId="0" applyFont="1" applyFill="1" applyProtection="1">
      <protection hidden="1"/>
    </xf>
    <xf numFmtId="0" fontId="5" fillId="8" borderId="0" xfId="0" applyFont="1" applyFill="1" applyProtection="1">
      <protection hidden="1"/>
    </xf>
    <xf numFmtId="0" fontId="7" fillId="6" borderId="0" xfId="0" applyFont="1" applyFill="1" applyAlignment="1" applyProtection="1">
      <alignment vertical="center"/>
      <protection hidden="1"/>
    </xf>
    <xf numFmtId="0" fontId="8" fillId="5" borderId="0" xfId="0" applyFont="1" applyFill="1" applyAlignment="1" applyProtection="1">
      <alignment vertical="center"/>
      <protection hidden="1"/>
    </xf>
    <xf numFmtId="0" fontId="7" fillId="5" borderId="0" xfId="0" applyFont="1" applyFill="1" applyAlignment="1" applyProtection="1">
      <alignment vertical="center"/>
      <protection hidden="1"/>
    </xf>
    <xf numFmtId="49" fontId="9" fillId="8" borderId="0" xfId="0" applyNumberFormat="1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9" fillId="8" borderId="0" xfId="0" applyFont="1" applyFill="1" applyProtection="1">
      <protection hidden="1"/>
    </xf>
    <xf numFmtId="0" fontId="5" fillId="8" borderId="5" xfId="0" applyFont="1" applyFill="1" applyBorder="1" applyProtection="1">
      <protection hidden="1"/>
    </xf>
    <xf numFmtId="0" fontId="9" fillId="8" borderId="6" xfId="0" applyFont="1" applyFill="1" applyBorder="1" applyProtection="1">
      <protection hidden="1"/>
    </xf>
    <xf numFmtId="0" fontId="5" fillId="8" borderId="13" xfId="0" applyFont="1" applyFill="1" applyBorder="1" applyProtection="1">
      <protection hidden="1"/>
    </xf>
    <xf numFmtId="0" fontId="5" fillId="8" borderId="14" xfId="0" applyFont="1" applyFill="1" applyBorder="1" applyProtection="1">
      <protection hidden="1"/>
    </xf>
    <xf numFmtId="0" fontId="9" fillId="8" borderId="5" xfId="0" applyFont="1" applyFill="1" applyBorder="1" applyProtection="1">
      <protection hidden="1"/>
    </xf>
    <xf numFmtId="0" fontId="9" fillId="0" borderId="0" xfId="0" applyFont="1" applyProtection="1">
      <protection hidden="1"/>
    </xf>
    <xf numFmtId="0" fontId="12" fillId="8" borderId="0" xfId="0" applyFont="1" applyFill="1" applyProtection="1">
      <protection hidden="1"/>
    </xf>
    <xf numFmtId="0" fontId="5" fillId="8" borderId="22" xfId="0" applyFont="1" applyFill="1" applyBorder="1" applyProtection="1">
      <protection hidden="1"/>
    </xf>
    <xf numFmtId="0" fontId="5" fillId="8" borderId="23" xfId="0" applyFont="1" applyFill="1" applyBorder="1" applyProtection="1">
      <protection hidden="1"/>
    </xf>
    <xf numFmtId="0" fontId="5" fillId="8" borderId="24" xfId="0" applyFont="1" applyFill="1" applyBorder="1" applyProtection="1">
      <protection hidden="1"/>
    </xf>
    <xf numFmtId="2" fontId="5" fillId="8" borderId="0" xfId="0" applyNumberFormat="1" applyFont="1" applyFill="1" applyAlignment="1" applyProtection="1">
      <alignment horizontal="center"/>
      <protection hidden="1"/>
    </xf>
    <xf numFmtId="0" fontId="9" fillId="8" borderId="19" xfId="0" applyFont="1" applyFill="1" applyBorder="1" applyProtection="1">
      <protection hidden="1"/>
    </xf>
    <xf numFmtId="0" fontId="9" fillId="8" borderId="18" xfId="0" applyFont="1" applyFill="1" applyBorder="1" applyProtection="1">
      <protection hidden="1"/>
    </xf>
    <xf numFmtId="0" fontId="5" fillId="8" borderId="18" xfId="0" applyFont="1" applyFill="1" applyBorder="1" applyProtection="1">
      <protection hidden="1"/>
    </xf>
    <xf numFmtId="0" fontId="9" fillId="8" borderId="20" xfId="0" applyFont="1" applyFill="1" applyBorder="1" applyProtection="1">
      <protection hidden="1"/>
    </xf>
    <xf numFmtId="0" fontId="5" fillId="8" borderId="6" xfId="0" applyFont="1" applyFill="1" applyBorder="1" applyProtection="1">
      <protection hidden="1"/>
    </xf>
    <xf numFmtId="0" fontId="12" fillId="8" borderId="14" xfId="0" applyFont="1" applyFill="1" applyBorder="1" applyProtection="1">
      <protection hidden="1"/>
    </xf>
    <xf numFmtId="0" fontId="5" fillId="8" borderId="20" xfId="0" applyFont="1" applyFill="1" applyBorder="1" applyProtection="1">
      <protection hidden="1"/>
    </xf>
    <xf numFmtId="9" fontId="20" fillId="8" borderId="14" xfId="1" applyFont="1" applyFill="1" applyBorder="1" applyAlignment="1" applyProtection="1">
      <protection hidden="1"/>
    </xf>
    <xf numFmtId="9" fontId="20" fillId="8" borderId="24" xfId="1" applyFont="1" applyFill="1" applyBorder="1" applyAlignment="1" applyProtection="1">
      <protection hidden="1"/>
    </xf>
    <xf numFmtId="0" fontId="5" fillId="8" borderId="19" xfId="0" applyFont="1" applyFill="1" applyBorder="1" applyProtection="1">
      <protection hidden="1"/>
    </xf>
    <xf numFmtId="0" fontId="5" fillId="8" borderId="26" xfId="0" applyFont="1" applyFill="1" applyBorder="1" applyProtection="1">
      <protection hidden="1"/>
    </xf>
    <xf numFmtId="0" fontId="5" fillId="8" borderId="27" xfId="0" applyFont="1" applyFill="1" applyBorder="1" applyProtection="1">
      <protection hidden="1"/>
    </xf>
    <xf numFmtId="0" fontId="5" fillId="8" borderId="30" xfId="0" applyFont="1" applyFill="1" applyBorder="1" applyProtection="1">
      <protection hidden="1"/>
    </xf>
    <xf numFmtId="0" fontId="5" fillId="8" borderId="33" xfId="0" applyFont="1" applyFill="1" applyBorder="1" applyProtection="1">
      <protection hidden="1"/>
    </xf>
    <xf numFmtId="0" fontId="9" fillId="8" borderId="0" xfId="0" applyFont="1" applyFill="1" applyAlignment="1" applyProtection="1">
      <alignment vertical="top"/>
      <protection hidden="1"/>
    </xf>
    <xf numFmtId="0" fontId="9" fillId="8" borderId="0" xfId="0" applyFont="1" applyFill="1" applyAlignment="1" applyProtection="1">
      <alignment vertical="center"/>
      <protection hidden="1"/>
    </xf>
    <xf numFmtId="0" fontId="5" fillId="8" borderId="0" xfId="0" applyFont="1" applyFill="1" applyAlignment="1" applyProtection="1">
      <alignment vertical="center"/>
      <protection hidden="1"/>
    </xf>
    <xf numFmtId="0" fontId="5" fillId="8" borderId="0" xfId="0" applyFont="1" applyFill="1" applyAlignment="1" applyProtection="1">
      <alignment vertical="top"/>
      <protection hidden="1"/>
    </xf>
    <xf numFmtId="0" fontId="5" fillId="8" borderId="2" xfId="0" applyFont="1" applyFill="1" applyBorder="1" applyProtection="1">
      <protection hidden="1"/>
    </xf>
    <xf numFmtId="0" fontId="5" fillId="8" borderId="3" xfId="0" applyFont="1" applyFill="1" applyBorder="1" applyProtection="1">
      <protection hidden="1"/>
    </xf>
    <xf numFmtId="0" fontId="5" fillId="8" borderId="4" xfId="0" applyFont="1" applyFill="1" applyBorder="1" applyProtection="1">
      <protection hidden="1"/>
    </xf>
    <xf numFmtId="0" fontId="12" fillId="8" borderId="0" xfId="0" applyFont="1" applyFill="1" applyAlignment="1" applyProtection="1">
      <alignment horizontal="left"/>
      <protection hidden="1"/>
    </xf>
    <xf numFmtId="0" fontId="5" fillId="8" borderId="28" xfId="0" applyFont="1" applyFill="1" applyBorder="1" applyProtection="1">
      <protection hidden="1"/>
    </xf>
    <xf numFmtId="0" fontId="5" fillId="8" borderId="29" xfId="0" applyFont="1" applyFill="1" applyBorder="1" applyProtection="1">
      <protection hidden="1"/>
    </xf>
    <xf numFmtId="0" fontId="5" fillId="8" borderId="32" xfId="0" applyFont="1" applyFill="1" applyBorder="1" applyProtection="1">
      <protection hidden="1"/>
    </xf>
    <xf numFmtId="0" fontId="5" fillId="8" borderId="73" xfId="0" applyFont="1" applyFill="1" applyBorder="1" applyProtection="1">
      <protection hidden="1"/>
    </xf>
    <xf numFmtId="0" fontId="5" fillId="8" borderId="74" xfId="0" applyFont="1" applyFill="1" applyBorder="1" applyProtection="1">
      <protection hidden="1"/>
    </xf>
    <xf numFmtId="0" fontId="5" fillId="8" borderId="25" xfId="0" applyFont="1" applyFill="1" applyBorder="1" applyProtection="1">
      <protection hidden="1"/>
    </xf>
    <xf numFmtId="0" fontId="5" fillId="8" borderId="46" xfId="0" applyFont="1" applyFill="1" applyBorder="1" applyAlignment="1" applyProtection="1">
      <alignment horizontal="right" vertical="center"/>
      <protection hidden="1"/>
    </xf>
    <xf numFmtId="0" fontId="5" fillId="8" borderId="47" xfId="0" applyFont="1" applyFill="1" applyBorder="1" applyAlignment="1" applyProtection="1">
      <alignment horizontal="right" vertical="center"/>
      <protection hidden="1"/>
    </xf>
    <xf numFmtId="0" fontId="5" fillId="8" borderId="48" xfId="0" applyFont="1" applyFill="1" applyBorder="1" applyAlignment="1" applyProtection="1">
      <alignment horizontal="right" vertical="center"/>
      <protection hidden="1"/>
    </xf>
    <xf numFmtId="0" fontId="5" fillId="8" borderId="77" xfId="0" applyFont="1" applyFill="1" applyBorder="1" applyProtection="1">
      <protection hidden="1"/>
    </xf>
    <xf numFmtId="0" fontId="18" fillId="8" borderId="0" xfId="0" applyFont="1" applyFill="1" applyProtection="1">
      <protection hidden="1"/>
    </xf>
    <xf numFmtId="0" fontId="9" fillId="0" borderId="0" xfId="0" applyFont="1" applyAlignment="1" applyProtection="1">
      <alignment vertical="center"/>
      <protection hidden="1"/>
    </xf>
    <xf numFmtId="0" fontId="12" fillId="8" borderId="0" xfId="0" applyFont="1" applyFill="1" applyAlignment="1" applyProtection="1">
      <alignment horizontal="left" vertical="top"/>
      <protection hidden="1"/>
    </xf>
    <xf numFmtId="0" fontId="11" fillId="8" borderId="0" xfId="0" applyFont="1" applyFill="1" applyAlignment="1" applyProtection="1">
      <alignment vertical="top"/>
      <protection hidden="1"/>
    </xf>
    <xf numFmtId="0" fontId="12" fillId="8" borderId="0" xfId="0" applyFont="1" applyFill="1" applyAlignment="1" applyProtection="1">
      <alignment vertical="top"/>
      <protection hidden="1"/>
    </xf>
    <xf numFmtId="0" fontId="12" fillId="8" borderId="0" xfId="0" applyFont="1" applyFill="1" applyAlignment="1" applyProtection="1">
      <alignment horizontal="left" vertical="center"/>
      <protection hidden="1"/>
    </xf>
    <xf numFmtId="0" fontId="5" fillId="13" borderId="0" xfId="0" applyFont="1" applyFill="1" applyProtection="1"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23" fillId="8" borderId="0" xfId="0" applyFont="1" applyFill="1" applyProtection="1">
      <protection hidden="1"/>
    </xf>
    <xf numFmtId="0" fontId="11" fillId="8" borderId="0" xfId="0" applyFont="1" applyFill="1" applyProtection="1">
      <protection hidden="1"/>
    </xf>
    <xf numFmtId="0" fontId="18" fillId="8" borderId="18" xfId="0" applyFont="1" applyFill="1" applyBorder="1" applyAlignment="1" applyProtection="1">
      <alignment wrapText="1"/>
      <protection hidden="1"/>
    </xf>
    <xf numFmtId="0" fontId="5" fillId="8" borderId="5" xfId="0" applyFont="1" applyFill="1" applyBorder="1" applyAlignment="1" applyProtection="1">
      <alignment vertical="center"/>
      <protection hidden="1"/>
    </xf>
    <xf numFmtId="0" fontId="11" fillId="8" borderId="0" xfId="0" applyFont="1" applyFill="1" applyAlignment="1" applyProtection="1">
      <alignment vertical="center"/>
      <protection hidden="1"/>
    </xf>
    <xf numFmtId="0" fontId="5" fillId="8" borderId="6" xfId="0" applyFont="1" applyFill="1" applyBorder="1" applyAlignment="1" applyProtection="1">
      <alignment vertical="center"/>
      <protection hidden="1"/>
    </xf>
    <xf numFmtId="0" fontId="5" fillId="8" borderId="73" xfId="0" applyFont="1" applyFill="1" applyBorder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2" fillId="8" borderId="0" xfId="0" applyFont="1" applyFill="1" applyAlignment="1" applyProtection="1">
      <alignment horizontal="right" vertical="center"/>
      <protection hidden="1"/>
    </xf>
    <xf numFmtId="0" fontId="28" fillId="8" borderId="0" xfId="0" applyFont="1" applyFill="1" applyProtection="1">
      <protection hidden="1"/>
    </xf>
    <xf numFmtId="2" fontId="9" fillId="8" borderId="0" xfId="0" applyNumberFormat="1" applyFont="1" applyFill="1" applyAlignment="1" applyProtection="1">
      <alignment vertical="top"/>
      <protection hidden="1"/>
    </xf>
    <xf numFmtId="0" fontId="24" fillId="11" borderId="43" xfId="0" applyFont="1" applyFill="1" applyBorder="1" applyProtection="1">
      <protection hidden="1"/>
    </xf>
    <xf numFmtId="0" fontId="24" fillId="11" borderId="44" xfId="0" applyFont="1" applyFill="1" applyBorder="1" applyProtection="1">
      <protection hidden="1"/>
    </xf>
    <xf numFmtId="0" fontId="24" fillId="11" borderId="45" xfId="0" applyFont="1" applyFill="1" applyBorder="1" applyProtection="1">
      <protection hidden="1"/>
    </xf>
    <xf numFmtId="0" fontId="24" fillId="11" borderId="46" xfId="0" applyFont="1" applyFill="1" applyBorder="1" applyProtection="1">
      <protection hidden="1"/>
    </xf>
    <xf numFmtId="0" fontId="0" fillId="10" borderId="35" xfId="0" applyFill="1" applyBorder="1" applyAlignment="1" applyProtection="1">
      <alignment horizontal="left" vertical="center"/>
      <protection hidden="1"/>
    </xf>
    <xf numFmtId="0" fontId="0" fillId="10" borderId="36" xfId="0" applyFill="1" applyBorder="1" applyAlignment="1" applyProtection="1">
      <alignment horizontal="right" vertical="center"/>
      <protection hidden="1"/>
    </xf>
    <xf numFmtId="0" fontId="0" fillId="10" borderId="49" xfId="0" applyFill="1" applyBorder="1" applyAlignment="1" applyProtection="1">
      <alignment horizontal="right" vertical="center"/>
      <protection hidden="1"/>
    </xf>
    <xf numFmtId="0" fontId="0" fillId="9" borderId="38" xfId="0" applyFill="1" applyBorder="1" applyAlignment="1" applyProtection="1">
      <alignment horizontal="left" vertical="center"/>
      <protection hidden="1"/>
    </xf>
    <xf numFmtId="0" fontId="0" fillId="9" borderId="34" xfId="0" applyFill="1" applyBorder="1" applyAlignment="1" applyProtection="1">
      <alignment horizontal="right" vertical="center"/>
      <protection hidden="1"/>
    </xf>
    <xf numFmtId="0" fontId="0" fillId="9" borderId="10" xfId="0" applyFill="1" applyBorder="1" applyAlignment="1" applyProtection="1">
      <alignment horizontal="right" vertical="center"/>
      <protection hidden="1"/>
    </xf>
    <xf numFmtId="0" fontId="0" fillId="10" borderId="38" xfId="0" applyFill="1" applyBorder="1" applyAlignment="1" applyProtection="1">
      <alignment horizontal="left" vertical="center"/>
      <protection hidden="1"/>
    </xf>
    <xf numFmtId="0" fontId="0" fillId="10" borderId="34" xfId="0" applyFill="1" applyBorder="1" applyAlignment="1" applyProtection="1">
      <alignment horizontal="right" vertical="center"/>
      <protection hidden="1"/>
    </xf>
    <xf numFmtId="0" fontId="0" fillId="10" borderId="10" xfId="0" applyFill="1" applyBorder="1" applyAlignment="1" applyProtection="1">
      <alignment horizontal="right" vertical="center"/>
      <protection hidden="1"/>
    </xf>
    <xf numFmtId="0" fontId="0" fillId="9" borderId="40" xfId="0" applyFill="1" applyBorder="1" applyAlignment="1" applyProtection="1">
      <alignment horizontal="left" vertical="center"/>
      <protection hidden="1"/>
    </xf>
    <xf numFmtId="0" fontId="0" fillId="9" borderId="41" xfId="0" applyFill="1" applyBorder="1" applyAlignment="1" applyProtection="1">
      <alignment horizontal="right" vertical="center"/>
      <protection hidden="1"/>
    </xf>
    <xf numFmtId="0" fontId="0" fillId="9" borderId="50" xfId="0" applyFill="1" applyBorder="1" applyAlignment="1" applyProtection="1">
      <alignment horizontal="right" vertical="center"/>
      <protection hidden="1"/>
    </xf>
    <xf numFmtId="0" fontId="24" fillId="11" borderId="35" xfId="0" applyFont="1" applyFill="1" applyBorder="1" applyProtection="1">
      <protection hidden="1"/>
    </xf>
    <xf numFmtId="0" fontId="24" fillId="11" borderId="36" xfId="0" applyFont="1" applyFill="1" applyBorder="1" applyProtection="1">
      <protection hidden="1"/>
    </xf>
    <xf numFmtId="0" fontId="24" fillId="11" borderId="37" xfId="0" applyFont="1" applyFill="1" applyBorder="1" applyProtection="1">
      <protection hidden="1"/>
    </xf>
    <xf numFmtId="0" fontId="0" fillId="0" borderId="76" xfId="0" applyBorder="1" applyProtection="1">
      <protection hidden="1"/>
    </xf>
    <xf numFmtId="0" fontId="24" fillId="11" borderId="72" xfId="0" applyFont="1" applyFill="1" applyBorder="1" applyProtection="1">
      <protection hidden="1"/>
    </xf>
    <xf numFmtId="0" fontId="0" fillId="11" borderId="35" xfId="0" applyFill="1" applyBorder="1" applyProtection="1">
      <protection hidden="1"/>
    </xf>
    <xf numFmtId="0" fontId="0" fillId="11" borderId="37" xfId="0" applyFill="1" applyBorder="1" applyProtection="1">
      <protection hidden="1"/>
    </xf>
    <xf numFmtId="0" fontId="0" fillId="0" borderId="53" xfId="0" applyBorder="1" applyProtection="1">
      <protection hidden="1"/>
    </xf>
    <xf numFmtId="0" fontId="0" fillId="0" borderId="52" xfId="0" applyBorder="1" applyProtection="1">
      <protection hidden="1"/>
    </xf>
    <xf numFmtId="0" fontId="0" fillId="0" borderId="57" xfId="0" applyBorder="1" applyProtection="1">
      <protection hidden="1"/>
    </xf>
    <xf numFmtId="0" fontId="0" fillId="0" borderId="55" xfId="0" applyBorder="1" applyProtection="1">
      <protection hidden="1"/>
    </xf>
    <xf numFmtId="0" fontId="0" fillId="0" borderId="58" xfId="0" applyBorder="1" applyProtection="1">
      <protection hidden="1"/>
    </xf>
    <xf numFmtId="0" fontId="0" fillId="0" borderId="59" xfId="0" applyBorder="1" applyProtection="1">
      <protection hidden="1"/>
    </xf>
    <xf numFmtId="0" fontId="0" fillId="0" borderId="52" xfId="0" applyBorder="1" applyAlignment="1" applyProtection="1">
      <alignment horizontal="right"/>
      <protection hidden="1"/>
    </xf>
    <xf numFmtId="0" fontId="0" fillId="0" borderId="54" xfId="0" applyBorder="1" applyAlignment="1" applyProtection="1">
      <alignment horizontal="right"/>
      <protection hidden="1"/>
    </xf>
    <xf numFmtId="0" fontId="0" fillId="0" borderId="64" xfId="0" applyBorder="1" applyProtection="1">
      <protection hidden="1"/>
    </xf>
    <xf numFmtId="168" fontId="0" fillId="0" borderId="52" xfId="0" applyNumberFormat="1" applyBorder="1" applyProtection="1">
      <protection hidden="1"/>
    </xf>
    <xf numFmtId="168" fontId="0" fillId="0" borderId="56" xfId="0" applyNumberFormat="1" applyBorder="1" applyProtection="1">
      <protection hidden="1"/>
    </xf>
    <xf numFmtId="172" fontId="0" fillId="0" borderId="34" xfId="1" applyNumberFormat="1" applyFont="1" applyBorder="1" applyProtection="1">
      <protection hidden="1"/>
    </xf>
    <xf numFmtId="166" fontId="0" fillId="0" borderId="52" xfId="0" applyNumberFormat="1" applyBorder="1" applyProtection="1">
      <protection hidden="1"/>
    </xf>
    <xf numFmtId="166" fontId="0" fillId="0" borderId="56" xfId="0" applyNumberFormat="1" applyBorder="1" applyProtection="1">
      <protection hidden="1"/>
    </xf>
    <xf numFmtId="172" fontId="0" fillId="0" borderId="21" xfId="1" applyNumberFormat="1" applyFont="1" applyBorder="1" applyProtection="1">
      <protection hidden="1"/>
    </xf>
    <xf numFmtId="167" fontId="0" fillId="0" borderId="52" xfId="0" applyNumberFormat="1" applyBorder="1" applyProtection="1">
      <protection hidden="1"/>
    </xf>
    <xf numFmtId="167" fontId="0" fillId="0" borderId="56" xfId="0" applyNumberFormat="1" applyBorder="1" applyProtection="1">
      <protection hidden="1"/>
    </xf>
    <xf numFmtId="0" fontId="0" fillId="0" borderId="60" xfId="0" applyBorder="1" applyProtection="1">
      <protection hidden="1"/>
    </xf>
    <xf numFmtId="0" fontId="0" fillId="0" borderId="61" xfId="0" applyBorder="1" applyProtection="1">
      <protection hidden="1"/>
    </xf>
    <xf numFmtId="0" fontId="0" fillId="0" borderId="63" xfId="0" applyBorder="1" applyProtection="1">
      <protection hidden="1"/>
    </xf>
    <xf numFmtId="0" fontId="0" fillId="0" borderId="62" xfId="0" applyBorder="1" applyProtection="1">
      <protection hidden="1"/>
    </xf>
    <xf numFmtId="168" fontId="0" fillId="9" borderId="52" xfId="0" applyNumberFormat="1" applyFill="1" applyBorder="1" applyProtection="1">
      <protection locked="0" hidden="1"/>
    </xf>
    <xf numFmtId="166" fontId="0" fillId="9" borderId="52" xfId="0" applyNumberFormat="1" applyFill="1" applyBorder="1" applyProtection="1">
      <protection locked="0" hidden="1"/>
    </xf>
    <xf numFmtId="167" fontId="0" fillId="9" borderId="52" xfId="0" applyNumberFormat="1" applyFill="1" applyBorder="1" applyProtection="1">
      <protection locked="0" hidden="1"/>
    </xf>
    <xf numFmtId="171" fontId="0" fillId="9" borderId="52" xfId="0" applyNumberFormat="1" applyFill="1" applyBorder="1" applyProtection="1">
      <protection locked="0" hidden="1"/>
    </xf>
    <xf numFmtId="169" fontId="0" fillId="9" borderId="52" xfId="0" applyNumberFormat="1" applyFill="1" applyBorder="1" applyProtection="1">
      <protection locked="0" hidden="1"/>
    </xf>
    <xf numFmtId="170" fontId="0" fillId="9" borderId="52" xfId="0" applyNumberFormat="1" applyFill="1" applyBorder="1" applyProtection="1">
      <protection locked="0" hidden="1"/>
    </xf>
    <xf numFmtId="49" fontId="0" fillId="0" borderId="38" xfId="0" applyNumberFormat="1" applyBorder="1" applyProtection="1">
      <protection locked="0" hidden="1"/>
    </xf>
    <xf numFmtId="49" fontId="0" fillId="0" borderId="34" xfId="0" applyNumberFormat="1" applyBorder="1" applyProtection="1">
      <protection locked="0" hidden="1"/>
    </xf>
    <xf numFmtId="0" fontId="0" fillId="0" borderId="34" xfId="0" applyBorder="1" applyProtection="1">
      <protection locked="0" hidden="1"/>
    </xf>
    <xf numFmtId="0" fontId="0" fillId="0" borderId="39" xfId="0" applyBorder="1" applyProtection="1">
      <protection locked="0" hidden="1"/>
    </xf>
    <xf numFmtId="0" fontId="0" fillId="0" borderId="40" xfId="0" applyBorder="1" applyProtection="1">
      <protection locked="0" hidden="1"/>
    </xf>
    <xf numFmtId="0" fontId="0" fillId="0" borderId="41" xfId="0" applyBorder="1" applyProtection="1">
      <protection locked="0" hidden="1"/>
    </xf>
    <xf numFmtId="0" fontId="0" fillId="0" borderId="42" xfId="0" applyBorder="1" applyProtection="1">
      <protection locked="0" hidden="1"/>
    </xf>
    <xf numFmtId="173" fontId="5" fillId="8" borderId="0" xfId="0" applyNumberFormat="1" applyFont="1" applyFill="1" applyAlignment="1" applyProtection="1">
      <alignment vertical="top"/>
      <protection hidden="1"/>
    </xf>
    <xf numFmtId="174" fontId="5" fillId="8" borderId="0" xfId="0" applyNumberFormat="1" applyFont="1" applyFill="1" applyAlignment="1" applyProtection="1">
      <alignment vertical="top"/>
      <protection hidden="1"/>
    </xf>
    <xf numFmtId="49" fontId="0" fillId="0" borderId="38" xfId="0" applyNumberFormat="1" applyBorder="1" applyProtection="1">
      <protection hidden="1"/>
    </xf>
    <xf numFmtId="49" fontId="0" fillId="0" borderId="34" xfId="0" applyNumberFormat="1" applyBorder="1" applyProtection="1">
      <protection hidden="1"/>
    </xf>
    <xf numFmtId="0" fontId="0" fillId="0" borderId="34" xfId="0" applyBorder="1" applyProtection="1">
      <protection hidden="1"/>
    </xf>
    <xf numFmtId="0" fontId="0" fillId="0" borderId="40" xfId="0" applyBorder="1" applyProtection="1">
      <protection hidden="1"/>
    </xf>
    <xf numFmtId="0" fontId="0" fillId="0" borderId="41" xfId="0" applyBorder="1" applyProtection="1">
      <protection hidden="1"/>
    </xf>
    <xf numFmtId="0" fontId="9" fillId="8" borderId="0" xfId="0" applyFont="1" applyFill="1" applyAlignment="1" applyProtection="1">
      <alignment horizontal="center"/>
      <protection hidden="1"/>
    </xf>
    <xf numFmtId="0" fontId="24" fillId="11" borderId="0" xfId="0" applyFont="1" applyFill="1" applyProtection="1">
      <protection hidden="1"/>
    </xf>
    <xf numFmtId="0" fontId="30" fillId="8" borderId="0" xfId="0" applyFont="1" applyFill="1" applyProtection="1">
      <protection hidden="1"/>
    </xf>
    <xf numFmtId="0" fontId="0" fillId="0" borderId="0" xfId="0" applyProtection="1">
      <protection hidden="1"/>
    </xf>
    <xf numFmtId="0" fontId="30" fillId="8" borderId="5" xfId="0" applyFont="1" applyFill="1" applyBorder="1" applyProtection="1">
      <protection hidden="1"/>
    </xf>
    <xf numFmtId="0" fontId="30" fillId="8" borderId="5" xfId="0" applyFont="1" applyFill="1" applyBorder="1" applyAlignment="1" applyProtection="1">
      <alignment vertical="center"/>
      <protection hidden="1"/>
    </xf>
    <xf numFmtId="0" fontId="11" fillId="10" borderId="34" xfId="0" applyFont="1" applyFill="1" applyBorder="1" applyAlignment="1" applyProtection="1">
      <alignment horizontal="center"/>
      <protection locked="0" hidden="1"/>
    </xf>
    <xf numFmtId="9" fontId="0" fillId="0" borderId="0" xfId="0" applyNumberFormat="1" applyProtection="1">
      <protection hidden="1"/>
    </xf>
    <xf numFmtId="2" fontId="0" fillId="0" borderId="34" xfId="0" applyNumberFormat="1" applyBorder="1" applyProtection="1">
      <protection hidden="1"/>
    </xf>
    <xf numFmtId="165" fontId="0" fillId="0" borderId="34" xfId="0" applyNumberFormat="1" applyBorder="1" applyProtection="1">
      <protection hidden="1"/>
    </xf>
    <xf numFmtId="0" fontId="30" fillId="8" borderId="6" xfId="0" applyFont="1" applyFill="1" applyBorder="1" applyProtection="1">
      <protection hidden="1"/>
    </xf>
    <xf numFmtId="0" fontId="30" fillId="8" borderId="6" xfId="0" applyFont="1" applyFill="1" applyBorder="1" applyAlignment="1" applyProtection="1">
      <alignment vertical="center"/>
      <protection hidden="1"/>
    </xf>
    <xf numFmtId="0" fontId="30" fillId="8" borderId="18" xfId="0" applyFont="1" applyFill="1" applyBorder="1" applyProtection="1">
      <protection hidden="1"/>
    </xf>
    <xf numFmtId="0" fontId="30" fillId="8" borderId="20" xfId="0" applyFont="1" applyFill="1" applyBorder="1" applyProtection="1">
      <protection hidden="1"/>
    </xf>
    <xf numFmtId="0" fontId="33" fillId="9" borderId="34" xfId="0" applyFont="1" applyFill="1" applyBorder="1"/>
    <xf numFmtId="0" fontId="34" fillId="0" borderId="34" xfId="0" applyFont="1" applyBorder="1"/>
    <xf numFmtId="0" fontId="0" fillId="0" borderId="34" xfId="0" applyBorder="1"/>
    <xf numFmtId="0" fontId="0" fillId="0" borderId="34" xfId="0" applyBorder="1" applyAlignment="1">
      <alignment wrapText="1"/>
    </xf>
    <xf numFmtId="0" fontId="11" fillId="8" borderId="0" xfId="0" applyFont="1" applyFill="1" applyAlignment="1" applyProtection="1">
      <alignment horizontal="right" vertical="center"/>
      <protection hidden="1"/>
    </xf>
    <xf numFmtId="0" fontId="5" fillId="8" borderId="0" xfId="0" applyFont="1" applyFill="1" applyAlignment="1" applyProtection="1">
      <alignment horizontal="center"/>
      <protection hidden="1"/>
    </xf>
    <xf numFmtId="0" fontId="5" fillId="8" borderId="75" xfId="0" applyFont="1" applyFill="1" applyBorder="1" applyProtection="1">
      <protection hidden="1"/>
    </xf>
    <xf numFmtId="0" fontId="37" fillId="12" borderId="46" xfId="0" applyFont="1" applyFill="1" applyBorder="1" applyAlignment="1" applyProtection="1">
      <alignment horizontal="center" vertical="center"/>
      <protection hidden="1"/>
    </xf>
    <xf numFmtId="0" fontId="36" fillId="12" borderId="46" xfId="0" applyFont="1" applyFill="1" applyBorder="1" applyAlignment="1" applyProtection="1">
      <alignment horizontal="center" vertical="center"/>
      <protection hidden="1"/>
    </xf>
    <xf numFmtId="0" fontId="5" fillId="8" borderId="27" xfId="0" applyFont="1" applyFill="1" applyBorder="1" applyAlignment="1" applyProtection="1">
      <alignment vertical="center"/>
      <protection hidden="1"/>
    </xf>
    <xf numFmtId="0" fontId="5" fillId="8" borderId="31" xfId="0" applyFont="1" applyFill="1" applyBorder="1" applyProtection="1">
      <protection hidden="1"/>
    </xf>
    <xf numFmtId="0" fontId="5" fillId="8" borderId="33" xfId="0" applyFont="1" applyFill="1" applyBorder="1" applyAlignment="1" applyProtection="1">
      <alignment vertical="center"/>
      <protection hidden="1"/>
    </xf>
    <xf numFmtId="0" fontId="12" fillId="8" borderId="25" xfId="0" applyFont="1" applyFill="1" applyBorder="1" applyAlignment="1" applyProtection="1">
      <alignment vertical="center" wrapText="1"/>
      <protection hidden="1"/>
    </xf>
    <xf numFmtId="0" fontId="5" fillId="8" borderId="79" xfId="0" applyFont="1" applyFill="1" applyBorder="1" applyProtection="1">
      <protection hidden="1"/>
    </xf>
    <xf numFmtId="0" fontId="5" fillId="8" borderId="78" xfId="0" applyFont="1" applyFill="1" applyBorder="1" applyProtection="1">
      <protection hidden="1"/>
    </xf>
    <xf numFmtId="0" fontId="5" fillId="8" borderId="80" xfId="0" applyFont="1" applyFill="1" applyBorder="1" applyProtection="1">
      <protection hidden="1"/>
    </xf>
    <xf numFmtId="0" fontId="12" fillId="8" borderId="0" xfId="0" applyFont="1" applyFill="1" applyAlignment="1" applyProtection="1">
      <alignment horizontal="right"/>
      <protection hidden="1"/>
    </xf>
    <xf numFmtId="0" fontId="9" fillId="8" borderId="10" xfId="0" applyFont="1" applyFill="1" applyBorder="1" applyAlignment="1" applyProtection="1">
      <alignment vertical="center"/>
      <protection hidden="1"/>
    </xf>
    <xf numFmtId="0" fontId="5" fillId="8" borderId="12" xfId="0" applyFont="1" applyFill="1" applyBorder="1" applyProtection="1">
      <protection hidden="1"/>
    </xf>
    <xf numFmtId="0" fontId="9" fillId="8" borderId="19" xfId="0" applyFont="1" applyFill="1" applyBorder="1" applyAlignment="1" applyProtection="1">
      <alignment vertical="center"/>
      <protection hidden="1"/>
    </xf>
    <xf numFmtId="0" fontId="12" fillId="8" borderId="0" xfId="0" applyFont="1" applyFill="1" applyAlignment="1" applyProtection="1">
      <alignment vertical="top" wrapText="1"/>
      <protection hidden="1"/>
    </xf>
    <xf numFmtId="0" fontId="39" fillId="8" borderId="0" xfId="0" applyFont="1" applyFill="1" applyProtection="1">
      <protection hidden="1"/>
    </xf>
    <xf numFmtId="0" fontId="39" fillId="8" borderId="0" xfId="0" applyFont="1" applyFill="1" applyAlignment="1" applyProtection="1">
      <alignment horizontal="right"/>
      <protection hidden="1"/>
    </xf>
    <xf numFmtId="0" fontId="39" fillId="8" borderId="0" xfId="0" applyFont="1" applyFill="1" applyAlignment="1" applyProtection="1">
      <alignment horizontal="left"/>
      <protection hidden="1"/>
    </xf>
    <xf numFmtId="0" fontId="39" fillId="8" borderId="0" xfId="0" applyFont="1" applyFill="1" applyAlignment="1" applyProtection="1">
      <alignment horizontal="center"/>
      <protection hidden="1"/>
    </xf>
    <xf numFmtId="175" fontId="39" fillId="8" borderId="0" xfId="0" applyNumberFormat="1" applyFont="1" applyFill="1" applyAlignment="1" applyProtection="1">
      <alignment horizontal="center"/>
      <protection hidden="1"/>
    </xf>
    <xf numFmtId="0" fontId="15" fillId="8" borderId="74" xfId="0" applyFont="1" applyFill="1" applyBorder="1" applyAlignment="1" applyProtection="1">
      <alignment vertical="center"/>
      <protection hidden="1"/>
    </xf>
    <xf numFmtId="0" fontId="28" fillId="8" borderId="0" xfId="0" applyFont="1" applyFill="1" applyAlignment="1" applyProtection="1">
      <alignment horizontal="left"/>
      <protection hidden="1"/>
    </xf>
    <xf numFmtId="3" fontId="28" fillId="8" borderId="0" xfId="0" applyNumberFormat="1" applyFont="1" applyFill="1" applyAlignment="1" applyProtection="1">
      <alignment horizontal="left"/>
      <protection hidden="1"/>
    </xf>
    <xf numFmtId="9" fontId="28" fillId="8" borderId="0" xfId="1" applyFont="1" applyFill="1" applyProtection="1">
      <protection hidden="1"/>
    </xf>
    <xf numFmtId="0" fontId="38" fillId="8" borderId="14" xfId="0" applyFont="1" applyFill="1" applyBorder="1" applyProtection="1">
      <protection hidden="1"/>
    </xf>
    <xf numFmtId="0" fontId="41" fillId="8" borderId="0" xfId="0" applyFont="1" applyFill="1" applyProtection="1">
      <protection hidden="1"/>
    </xf>
    <xf numFmtId="0" fontId="40" fillId="8" borderId="0" xfId="0" applyFont="1" applyFill="1" applyAlignment="1" applyProtection="1">
      <alignment vertical="center"/>
      <protection hidden="1"/>
    </xf>
    <xf numFmtId="0" fontId="40" fillId="8" borderId="0" xfId="0" applyFont="1" applyFill="1" applyAlignment="1" applyProtection="1">
      <alignment vertical="center" wrapText="1"/>
      <protection hidden="1"/>
    </xf>
    <xf numFmtId="0" fontId="40" fillId="8" borderId="18" xfId="0" applyFont="1" applyFill="1" applyBorder="1" applyAlignment="1" applyProtection="1">
      <alignment vertical="center"/>
      <protection hidden="1"/>
    </xf>
    <xf numFmtId="0" fontId="41" fillId="8" borderId="18" xfId="0" applyFont="1" applyFill="1" applyBorder="1" applyProtection="1">
      <protection hidden="1"/>
    </xf>
    <xf numFmtId="0" fontId="42" fillId="8" borderId="0" xfId="0" applyFont="1" applyFill="1" applyAlignment="1" applyProtection="1">
      <alignment horizontal="center" vertical="center"/>
      <protection hidden="1"/>
    </xf>
    <xf numFmtId="0" fontId="28" fillId="8" borderId="0" xfId="0" applyFont="1" applyFill="1" applyAlignment="1" applyProtection="1">
      <alignment horizontal="right"/>
      <protection hidden="1"/>
    </xf>
    <xf numFmtId="0" fontId="11" fillId="10" borderId="10" xfId="0" applyFont="1" applyFill="1" applyBorder="1" applyAlignment="1" applyProtection="1">
      <alignment horizontal="right"/>
      <protection locked="0" hidden="1"/>
    </xf>
    <xf numFmtId="0" fontId="11" fillId="10" borderId="11" xfId="0" applyFont="1" applyFill="1" applyBorder="1" applyAlignment="1" applyProtection="1">
      <alignment horizontal="right"/>
      <protection locked="0" hidden="1"/>
    </xf>
    <xf numFmtId="0" fontId="11" fillId="10" borderId="12" xfId="0" applyFont="1" applyFill="1" applyBorder="1" applyAlignment="1" applyProtection="1">
      <alignment horizontal="right"/>
      <protection locked="0" hidden="1"/>
    </xf>
    <xf numFmtId="0" fontId="43" fillId="8" borderId="0" xfId="0" applyFont="1" applyFill="1" applyAlignment="1" applyProtection="1">
      <alignment horizontal="center" vertical="center"/>
      <protection hidden="1"/>
    </xf>
    <xf numFmtId="0" fontId="43" fillId="8" borderId="25" xfId="0" applyFont="1" applyFill="1" applyBorder="1" applyAlignment="1" applyProtection="1">
      <alignment horizontal="center" vertical="center"/>
      <protection hidden="1"/>
    </xf>
    <xf numFmtId="0" fontId="5" fillId="8" borderId="78" xfId="0" applyFont="1" applyFill="1" applyBorder="1" applyAlignment="1" applyProtection="1">
      <alignment horizontal="center"/>
      <protection hidden="1"/>
    </xf>
    <xf numFmtId="165" fontId="11" fillId="8" borderId="0" xfId="0" applyNumberFormat="1" applyFont="1" applyFill="1" applyAlignment="1" applyProtection="1">
      <alignment horizontal="right"/>
      <protection hidden="1"/>
    </xf>
    <xf numFmtId="0" fontId="9" fillId="10" borderId="10" xfId="0" applyFont="1" applyFill="1" applyBorder="1" applyAlignment="1" applyProtection="1">
      <alignment horizontal="right" vertical="center" wrapText="1"/>
      <protection locked="0" hidden="1"/>
    </xf>
    <xf numFmtId="0" fontId="9" fillId="10" borderId="12" xfId="0" applyFont="1" applyFill="1" applyBorder="1" applyAlignment="1" applyProtection="1">
      <alignment horizontal="right" vertical="center" wrapText="1"/>
      <protection locked="0" hidden="1"/>
    </xf>
    <xf numFmtId="43" fontId="11" fillId="4" borderId="10" xfId="4" applyNumberFormat="1" applyFont="1" applyBorder="1" applyAlignment="1" applyProtection="1">
      <alignment horizontal="right"/>
      <protection locked="0" hidden="1"/>
    </xf>
    <xf numFmtId="43" fontId="11" fillId="4" borderId="11" xfId="4" applyNumberFormat="1" applyFont="1" applyBorder="1" applyAlignment="1" applyProtection="1">
      <alignment horizontal="right"/>
      <protection locked="0" hidden="1"/>
    </xf>
    <xf numFmtId="43" fontId="11" fillId="4" borderId="12" xfId="4" applyNumberFormat="1" applyFont="1" applyBorder="1" applyAlignment="1" applyProtection="1">
      <alignment horizontal="right"/>
      <protection locked="0" hidden="1"/>
    </xf>
    <xf numFmtId="0" fontId="21" fillId="11" borderId="34" xfId="0" applyFont="1" applyFill="1" applyBorder="1" applyAlignment="1" applyProtection="1">
      <alignment horizontal="center" vertical="top" wrapText="1"/>
      <protection hidden="1"/>
    </xf>
    <xf numFmtId="0" fontId="44" fillId="11" borderId="34" xfId="0" applyFont="1" applyFill="1" applyBorder="1" applyAlignment="1" applyProtection="1">
      <alignment horizontal="center" vertical="center"/>
      <protection hidden="1"/>
    </xf>
    <xf numFmtId="0" fontId="12" fillId="8" borderId="0" xfId="0" applyFont="1" applyFill="1" applyAlignment="1" applyProtection="1">
      <alignment horizontal="center" vertical="center" wrapText="1"/>
      <protection hidden="1"/>
    </xf>
    <xf numFmtId="0" fontId="14" fillId="3" borderId="15" xfId="3" applyFont="1" applyBorder="1" applyAlignment="1" applyProtection="1">
      <alignment horizontal="center"/>
      <protection hidden="1"/>
    </xf>
    <xf numFmtId="0" fontId="14" fillId="3" borderId="16" xfId="3" applyFont="1" applyBorder="1" applyAlignment="1" applyProtection="1">
      <alignment horizontal="center"/>
      <protection hidden="1"/>
    </xf>
    <xf numFmtId="0" fontId="14" fillId="3" borderId="17" xfId="3" applyFont="1" applyBorder="1" applyAlignment="1" applyProtection="1">
      <alignment horizontal="center"/>
      <protection hidden="1"/>
    </xf>
    <xf numFmtId="0" fontId="16" fillId="12" borderId="28" xfId="0" applyFont="1" applyFill="1" applyBorder="1" applyAlignment="1" applyProtection="1">
      <alignment horizontal="center" vertical="center"/>
      <protection hidden="1"/>
    </xf>
    <xf numFmtId="0" fontId="16" fillId="12" borderId="51" xfId="0" applyFont="1" applyFill="1" applyBorder="1" applyAlignment="1" applyProtection="1">
      <alignment horizontal="center" vertical="center"/>
      <protection hidden="1"/>
    </xf>
    <xf numFmtId="0" fontId="16" fillId="12" borderId="33" xfId="0" applyFont="1" applyFill="1" applyBorder="1" applyAlignment="1" applyProtection="1">
      <alignment horizontal="center" vertical="center"/>
      <protection hidden="1"/>
    </xf>
    <xf numFmtId="0" fontId="16" fillId="12" borderId="0" xfId="0" applyFont="1" applyFill="1" applyAlignment="1" applyProtection="1">
      <alignment horizontal="center" vertical="center"/>
      <protection hidden="1"/>
    </xf>
    <xf numFmtId="0" fontId="16" fillId="12" borderId="73" xfId="0" applyFont="1" applyFill="1" applyBorder="1" applyAlignment="1" applyProtection="1">
      <alignment horizontal="center" vertical="center"/>
      <protection hidden="1"/>
    </xf>
    <xf numFmtId="0" fontId="16" fillId="12" borderId="27" xfId="0" applyFont="1" applyFill="1" applyBorder="1" applyAlignment="1" applyProtection="1">
      <alignment horizontal="center" vertical="center"/>
      <protection hidden="1"/>
    </xf>
    <xf numFmtId="0" fontId="16" fillId="12" borderId="32" xfId="0" applyFont="1" applyFill="1" applyBorder="1" applyAlignment="1" applyProtection="1">
      <alignment horizontal="center" vertical="center"/>
      <protection hidden="1"/>
    </xf>
    <xf numFmtId="0" fontId="16" fillId="12" borderId="29" xfId="0" applyFont="1" applyFill="1" applyBorder="1" applyAlignment="1" applyProtection="1">
      <alignment horizontal="center" vertical="center"/>
      <protection hidden="1"/>
    </xf>
    <xf numFmtId="0" fontId="16" fillId="12" borderId="30" xfId="0" applyFont="1" applyFill="1" applyBorder="1" applyAlignment="1" applyProtection="1">
      <alignment horizontal="center" vertical="center"/>
      <protection hidden="1"/>
    </xf>
    <xf numFmtId="3" fontId="11" fillId="8" borderId="0" xfId="0" applyNumberFormat="1" applyFont="1" applyFill="1" applyAlignment="1" applyProtection="1">
      <alignment horizontal="right"/>
      <protection hidden="1"/>
    </xf>
    <xf numFmtId="0" fontId="11" fillId="8" borderId="0" xfId="0" applyFont="1" applyFill="1" applyAlignment="1" applyProtection="1">
      <alignment horizontal="right" vertical="center"/>
      <protection hidden="1"/>
    </xf>
    <xf numFmtId="0" fontId="43" fillId="10" borderId="0" xfId="0" applyFont="1" applyFill="1" applyAlignment="1" applyProtection="1">
      <alignment horizontal="center" vertical="center"/>
      <protection locked="0" hidden="1"/>
    </xf>
    <xf numFmtId="0" fontId="43" fillId="10" borderId="25" xfId="0" applyFont="1" applyFill="1" applyBorder="1" applyAlignment="1" applyProtection="1">
      <alignment horizontal="center" vertical="center"/>
      <protection locked="0" hidden="1"/>
    </xf>
    <xf numFmtId="175" fontId="39" fillId="8" borderId="0" xfId="0" applyNumberFormat="1" applyFont="1" applyFill="1" applyAlignment="1" applyProtection="1">
      <alignment horizontal="center"/>
      <protection hidden="1"/>
    </xf>
    <xf numFmtId="0" fontId="43" fillId="8" borderId="0" xfId="0" applyFont="1" applyFill="1" applyAlignment="1" applyProtection="1">
      <alignment horizontal="center" vertical="center"/>
      <protection locked="0" hidden="1"/>
    </xf>
    <xf numFmtId="0" fontId="43" fillId="8" borderId="25" xfId="0" applyFont="1" applyFill="1" applyBorder="1" applyAlignment="1" applyProtection="1">
      <alignment horizontal="center" vertical="center"/>
      <protection locked="0" hidden="1"/>
    </xf>
    <xf numFmtId="0" fontId="5" fillId="12" borderId="84" xfId="0" applyFont="1" applyFill="1" applyBorder="1" applyAlignment="1" applyProtection="1">
      <alignment horizontal="center"/>
      <protection hidden="1"/>
    </xf>
    <xf numFmtId="0" fontId="5" fillId="12" borderId="81" xfId="0" applyFont="1" applyFill="1" applyBorder="1" applyAlignment="1" applyProtection="1">
      <alignment horizontal="center"/>
      <protection hidden="1"/>
    </xf>
    <xf numFmtId="0" fontId="5" fillId="12" borderId="82" xfId="0" applyFont="1" applyFill="1" applyBorder="1" applyAlignment="1" applyProtection="1">
      <alignment horizontal="center"/>
      <protection hidden="1"/>
    </xf>
    <xf numFmtId="0" fontId="5" fillId="12" borderId="85" xfId="0" applyFont="1" applyFill="1" applyBorder="1" applyAlignment="1" applyProtection="1">
      <alignment horizontal="center"/>
      <protection hidden="1"/>
    </xf>
    <xf numFmtId="0" fontId="5" fillId="12" borderId="87" xfId="0" applyFont="1" applyFill="1" applyBorder="1" applyAlignment="1" applyProtection="1">
      <alignment horizontal="center"/>
      <protection hidden="1"/>
    </xf>
    <xf numFmtId="0" fontId="5" fillId="12" borderId="86" xfId="0" applyFont="1" applyFill="1" applyBorder="1" applyAlignment="1" applyProtection="1">
      <alignment horizontal="center"/>
      <protection hidden="1"/>
    </xf>
    <xf numFmtId="0" fontId="5" fillId="12" borderId="88" xfId="0" applyFont="1" applyFill="1" applyBorder="1" applyAlignment="1" applyProtection="1">
      <alignment horizontal="center"/>
      <protection hidden="1"/>
    </xf>
    <xf numFmtId="164" fontId="22" fillId="8" borderId="0" xfId="0" applyNumberFormat="1" applyFont="1" applyFill="1" applyAlignment="1" applyProtection="1">
      <alignment horizontal="left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1" fillId="7" borderId="0" xfId="0" applyFont="1" applyFill="1" applyAlignment="1" applyProtection="1">
      <alignment horizontal="center" vertical="center"/>
      <protection locked="0" hidden="1"/>
    </xf>
    <xf numFmtId="0" fontId="32" fillId="7" borderId="0" xfId="0" applyFont="1" applyFill="1" applyAlignment="1" applyProtection="1">
      <alignment horizontal="center" vertical="center"/>
      <protection locked="0" hidden="1"/>
    </xf>
    <xf numFmtId="0" fontId="6" fillId="5" borderId="0" xfId="0" applyFont="1" applyFill="1" applyAlignment="1" applyProtection="1">
      <alignment horizontal="right" vertical="center"/>
      <protection hidden="1"/>
    </xf>
    <xf numFmtId="0" fontId="10" fillId="5" borderId="2" xfId="0" applyFont="1" applyFill="1" applyBorder="1" applyAlignment="1" applyProtection="1">
      <alignment horizontal="center" vertical="center"/>
      <protection hidden="1"/>
    </xf>
    <xf numFmtId="0" fontId="10" fillId="5" borderId="3" xfId="0" applyFont="1" applyFill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horizontal="center" vertical="center"/>
      <protection hidden="1"/>
    </xf>
    <xf numFmtId="0" fontId="10" fillId="5" borderId="5" xfId="0" applyFont="1" applyFill="1" applyBorder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center" vertical="center"/>
      <protection hidden="1"/>
    </xf>
    <xf numFmtId="0" fontId="10" fillId="5" borderId="6" xfId="0" applyFont="1" applyFill="1" applyBorder="1" applyAlignment="1" applyProtection="1">
      <alignment horizontal="center" vertical="center"/>
      <protection hidden="1"/>
    </xf>
    <xf numFmtId="0" fontId="11" fillId="8" borderId="0" xfId="0" applyFont="1" applyFill="1" applyAlignment="1" applyProtection="1">
      <alignment horizontal="right"/>
      <protection hidden="1"/>
    </xf>
    <xf numFmtId="2" fontId="11" fillId="8" borderId="0" xfId="0" applyNumberFormat="1" applyFont="1" applyFill="1" applyAlignment="1" applyProtection="1">
      <alignment horizontal="right" vertical="center"/>
      <protection hidden="1"/>
    </xf>
    <xf numFmtId="0" fontId="12" fillId="8" borderId="0" xfId="0" applyFont="1" applyFill="1" applyAlignment="1" applyProtection="1">
      <alignment horizontal="center" vertical="center"/>
      <protection hidden="1"/>
    </xf>
    <xf numFmtId="0" fontId="26" fillId="8" borderId="78" xfId="0" applyFont="1" applyFill="1" applyBorder="1" applyAlignment="1" applyProtection="1">
      <alignment horizontal="center"/>
      <protection hidden="1"/>
    </xf>
    <xf numFmtId="0" fontId="30" fillId="8" borderId="78" xfId="0" applyFont="1" applyFill="1" applyBorder="1" applyAlignment="1" applyProtection="1">
      <alignment horizontal="center"/>
      <protection hidden="1"/>
    </xf>
    <xf numFmtId="0" fontId="12" fillId="9" borderId="7" xfId="0" applyFont="1" applyFill="1" applyBorder="1" applyAlignment="1" applyProtection="1">
      <alignment horizontal="center"/>
      <protection hidden="1"/>
    </xf>
    <xf numFmtId="0" fontId="12" fillId="9" borderId="8" xfId="0" applyFont="1" applyFill="1" applyBorder="1" applyAlignment="1" applyProtection="1">
      <alignment horizontal="center"/>
      <protection hidden="1"/>
    </xf>
    <xf numFmtId="0" fontId="12" fillId="9" borderId="9" xfId="0" applyFont="1" applyFill="1" applyBorder="1" applyAlignment="1" applyProtection="1">
      <alignment horizontal="center"/>
      <protection hidden="1"/>
    </xf>
    <xf numFmtId="0" fontId="17" fillId="2" borderId="15" xfId="2" applyFont="1" applyBorder="1" applyAlignment="1" applyProtection="1">
      <alignment horizontal="center"/>
      <protection hidden="1"/>
    </xf>
    <xf numFmtId="0" fontId="17" fillId="2" borderId="16" xfId="2" applyFont="1" applyBorder="1" applyAlignment="1" applyProtection="1">
      <alignment horizontal="center"/>
      <protection hidden="1"/>
    </xf>
    <xf numFmtId="0" fontId="17" fillId="2" borderId="17" xfId="2" applyFont="1" applyBorder="1" applyAlignment="1" applyProtection="1">
      <alignment horizontal="center"/>
      <protection hidden="1"/>
    </xf>
    <xf numFmtId="0" fontId="12" fillId="8" borderId="0" xfId="0" applyFont="1" applyFill="1" applyAlignment="1" applyProtection="1">
      <alignment horizontal="center"/>
      <protection hidden="1"/>
    </xf>
    <xf numFmtId="176" fontId="35" fillId="8" borderId="2" xfId="0" applyNumberFormat="1" applyFont="1" applyFill="1" applyBorder="1" applyAlignment="1" applyProtection="1">
      <alignment horizontal="center" vertical="center"/>
      <protection hidden="1"/>
    </xf>
    <xf numFmtId="176" fontId="35" fillId="8" borderId="3" xfId="0" applyNumberFormat="1" applyFont="1" applyFill="1" applyBorder="1" applyAlignment="1" applyProtection="1">
      <alignment horizontal="center" vertical="center"/>
      <protection hidden="1"/>
    </xf>
    <xf numFmtId="176" fontId="35" fillId="8" borderId="4" xfId="0" applyNumberFormat="1" applyFont="1" applyFill="1" applyBorder="1" applyAlignment="1" applyProtection="1">
      <alignment horizontal="center" vertical="center"/>
      <protection hidden="1"/>
    </xf>
    <xf numFmtId="176" fontId="35" fillId="8" borderId="19" xfId="0" applyNumberFormat="1" applyFont="1" applyFill="1" applyBorder="1" applyAlignment="1" applyProtection="1">
      <alignment horizontal="center" vertical="center"/>
      <protection hidden="1"/>
    </xf>
    <xf numFmtId="176" fontId="35" fillId="8" borderId="18" xfId="0" applyNumberFormat="1" applyFont="1" applyFill="1" applyBorder="1" applyAlignment="1" applyProtection="1">
      <alignment horizontal="center" vertical="center"/>
      <protection hidden="1"/>
    </xf>
    <xf numFmtId="176" fontId="35" fillId="8" borderId="20" xfId="0" applyNumberFormat="1" applyFont="1" applyFill="1" applyBorder="1" applyAlignment="1" applyProtection="1">
      <alignment horizontal="center" vertical="center"/>
      <protection hidden="1"/>
    </xf>
    <xf numFmtId="0" fontId="35" fillId="10" borderId="2" xfId="0" applyFont="1" applyFill="1" applyBorder="1" applyAlignment="1" applyProtection="1">
      <alignment horizontal="center" vertical="center"/>
      <protection locked="0" hidden="1"/>
    </xf>
    <xf numFmtId="0" fontId="35" fillId="10" borderId="3" xfId="0" applyFont="1" applyFill="1" applyBorder="1" applyAlignment="1" applyProtection="1">
      <alignment horizontal="center" vertical="center"/>
      <protection locked="0" hidden="1"/>
    </xf>
    <xf numFmtId="0" fontId="35" fillId="10" borderId="4" xfId="0" applyFont="1" applyFill="1" applyBorder="1" applyAlignment="1" applyProtection="1">
      <alignment horizontal="center" vertical="center"/>
      <protection locked="0" hidden="1"/>
    </xf>
    <xf numFmtId="0" fontId="35" fillId="10" borderId="19" xfId="0" applyFont="1" applyFill="1" applyBorder="1" applyAlignment="1" applyProtection="1">
      <alignment horizontal="center" vertical="center"/>
      <protection locked="0" hidden="1"/>
    </xf>
    <xf numFmtId="0" fontId="35" fillId="10" borderId="18" xfId="0" applyFont="1" applyFill="1" applyBorder="1" applyAlignment="1" applyProtection="1">
      <alignment horizontal="center" vertical="center"/>
      <protection locked="0" hidden="1"/>
    </xf>
    <xf numFmtId="0" fontId="35" fillId="10" borderId="20" xfId="0" applyFont="1" applyFill="1" applyBorder="1" applyAlignment="1" applyProtection="1">
      <alignment horizontal="center" vertical="center"/>
      <protection locked="0" hidden="1"/>
    </xf>
    <xf numFmtId="0" fontId="19" fillId="8" borderId="13" xfId="0" applyFont="1" applyFill="1" applyBorder="1" applyAlignment="1" applyProtection="1">
      <alignment horizontal="center" vertical="center" wrapText="1"/>
      <protection hidden="1"/>
    </xf>
    <xf numFmtId="0" fontId="19" fillId="8" borderId="0" xfId="0" applyFont="1" applyFill="1" applyAlignment="1" applyProtection="1">
      <alignment horizontal="center" vertical="center" wrapText="1"/>
      <protection hidden="1"/>
    </xf>
    <xf numFmtId="0" fontId="19" fillId="8" borderId="14" xfId="0" applyFont="1" applyFill="1" applyBorder="1" applyAlignment="1" applyProtection="1">
      <alignment horizontal="center" vertical="center" wrapText="1"/>
      <protection hidden="1"/>
    </xf>
    <xf numFmtId="0" fontId="19" fillId="8" borderId="22" xfId="0" applyFont="1" applyFill="1" applyBorder="1" applyAlignment="1" applyProtection="1">
      <alignment horizontal="center" vertical="center" wrapText="1"/>
      <protection hidden="1"/>
    </xf>
    <xf numFmtId="0" fontId="19" fillId="8" borderId="23" xfId="0" applyFont="1" applyFill="1" applyBorder="1" applyAlignment="1" applyProtection="1">
      <alignment horizontal="center" vertical="center" wrapText="1"/>
      <protection hidden="1"/>
    </xf>
    <xf numFmtId="0" fontId="19" fillId="8" borderId="24" xfId="0" applyFont="1" applyFill="1" applyBorder="1" applyAlignment="1" applyProtection="1">
      <alignment horizontal="center" vertical="center" wrapText="1"/>
      <protection hidden="1"/>
    </xf>
    <xf numFmtId="0" fontId="5" fillId="8" borderId="0" xfId="0" applyFont="1" applyFill="1" applyAlignment="1" applyProtection="1">
      <alignment horizontal="center" vertical="center" wrapText="1"/>
      <protection hidden="1"/>
    </xf>
    <xf numFmtId="0" fontId="12" fillId="12" borderId="28" xfId="0" applyFont="1" applyFill="1" applyBorder="1" applyAlignment="1" applyProtection="1">
      <alignment horizontal="center" vertical="center" wrapText="1"/>
      <protection hidden="1"/>
    </xf>
    <xf numFmtId="0" fontId="12" fillId="12" borderId="0" xfId="0" applyFont="1" applyFill="1" applyAlignment="1" applyProtection="1">
      <alignment horizontal="center" vertical="center" wrapText="1"/>
      <protection hidden="1"/>
    </xf>
    <xf numFmtId="0" fontId="12" fillId="12" borderId="51" xfId="0" applyFont="1" applyFill="1" applyBorder="1" applyAlignment="1" applyProtection="1">
      <alignment horizontal="center" vertical="center" wrapText="1"/>
      <protection hidden="1"/>
    </xf>
    <xf numFmtId="0" fontId="12" fillId="12" borderId="29" xfId="0" applyFont="1" applyFill="1" applyBorder="1" applyAlignment="1" applyProtection="1">
      <alignment horizontal="center" vertical="center" wrapText="1"/>
      <protection hidden="1"/>
    </xf>
    <xf numFmtId="0" fontId="12" fillId="12" borderId="33" xfId="0" applyFont="1" applyFill="1" applyBorder="1" applyAlignment="1" applyProtection="1">
      <alignment horizontal="center" vertical="center" wrapText="1"/>
      <protection hidden="1"/>
    </xf>
    <xf numFmtId="0" fontId="12" fillId="12" borderId="73" xfId="0" applyFont="1" applyFill="1" applyBorder="1" applyAlignment="1" applyProtection="1">
      <alignment horizontal="center" vertical="center" wrapText="1"/>
      <protection hidden="1"/>
    </xf>
    <xf numFmtId="0" fontId="12" fillId="12" borderId="30" xfId="0" applyFont="1" applyFill="1" applyBorder="1" applyAlignment="1" applyProtection="1">
      <alignment horizontal="center" vertical="center" wrapText="1"/>
      <protection hidden="1"/>
    </xf>
    <xf numFmtId="0" fontId="12" fillId="12" borderId="27" xfId="0" applyFont="1" applyFill="1" applyBorder="1" applyAlignment="1" applyProtection="1">
      <alignment horizontal="center" vertical="center" wrapText="1"/>
      <protection hidden="1"/>
    </xf>
    <xf numFmtId="0" fontId="12" fillId="12" borderId="32" xfId="0" applyFont="1" applyFill="1" applyBorder="1" applyAlignment="1" applyProtection="1">
      <alignment horizontal="center" vertical="center" wrapText="1"/>
      <protection hidden="1"/>
    </xf>
    <xf numFmtId="0" fontId="5" fillId="8" borderId="82" xfId="0" applyFont="1" applyFill="1" applyBorder="1" applyProtection="1">
      <protection hidden="1"/>
    </xf>
    <xf numFmtId="0" fontId="5" fillId="8" borderId="83" xfId="0" applyFont="1" applyFill="1" applyBorder="1" applyAlignment="1" applyProtection="1">
      <alignment horizontal="center"/>
      <protection hidden="1"/>
    </xf>
    <xf numFmtId="0" fontId="12" fillId="12" borderId="33" xfId="0" applyFont="1" applyFill="1" applyBorder="1" applyAlignment="1" applyProtection="1">
      <alignment horizontal="center" vertical="center"/>
      <protection hidden="1"/>
    </xf>
    <xf numFmtId="0" fontId="12" fillId="12" borderId="0" xfId="0" applyFont="1" applyFill="1" applyAlignment="1" applyProtection="1">
      <alignment horizontal="center" vertical="center"/>
      <protection hidden="1"/>
    </xf>
    <xf numFmtId="0" fontId="12" fillId="12" borderId="73" xfId="0" applyFont="1" applyFill="1" applyBorder="1" applyAlignment="1" applyProtection="1">
      <alignment horizontal="center" vertical="center"/>
      <protection hidden="1"/>
    </xf>
    <xf numFmtId="0" fontId="12" fillId="12" borderId="30" xfId="0" applyFont="1" applyFill="1" applyBorder="1" applyAlignment="1" applyProtection="1">
      <alignment horizontal="center" vertical="center"/>
      <protection hidden="1"/>
    </xf>
    <xf numFmtId="0" fontId="12" fillId="12" borderId="27" xfId="0" applyFont="1" applyFill="1" applyBorder="1" applyAlignment="1" applyProtection="1">
      <alignment horizontal="center" vertical="center"/>
      <protection hidden="1"/>
    </xf>
    <xf numFmtId="0" fontId="12" fillId="12" borderId="32" xfId="0" applyFont="1" applyFill="1" applyBorder="1" applyAlignment="1" applyProtection="1">
      <alignment horizontal="center" vertical="center"/>
      <protection hidden="1"/>
    </xf>
    <xf numFmtId="0" fontId="27" fillId="8" borderId="28" xfId="0" applyFont="1" applyFill="1" applyBorder="1" applyAlignment="1" applyProtection="1">
      <alignment horizontal="right" vertical="center"/>
      <protection hidden="1"/>
    </xf>
    <xf numFmtId="0" fontId="27" fillId="8" borderId="51" xfId="0" applyFont="1" applyFill="1" applyBorder="1" applyAlignment="1" applyProtection="1">
      <alignment horizontal="right" vertical="center"/>
      <protection hidden="1"/>
    </xf>
    <xf numFmtId="0" fontId="27" fillId="8" borderId="29" xfId="0" applyFont="1" applyFill="1" applyBorder="1" applyAlignment="1" applyProtection="1">
      <alignment horizontal="right" vertical="center"/>
      <protection hidden="1"/>
    </xf>
    <xf numFmtId="0" fontId="27" fillId="8" borderId="30" xfId="0" applyFont="1" applyFill="1" applyBorder="1" applyAlignment="1" applyProtection="1">
      <alignment horizontal="right" vertical="center"/>
      <protection hidden="1"/>
    </xf>
    <xf numFmtId="0" fontId="27" fillId="8" borderId="27" xfId="0" applyFont="1" applyFill="1" applyBorder="1" applyAlignment="1" applyProtection="1">
      <alignment horizontal="right" vertical="center"/>
      <protection hidden="1"/>
    </xf>
    <xf numFmtId="0" fontId="27" fillId="8" borderId="32" xfId="0" applyFont="1" applyFill="1" applyBorder="1" applyAlignment="1" applyProtection="1">
      <alignment horizontal="right" vertical="center"/>
      <protection hidden="1"/>
    </xf>
    <xf numFmtId="0" fontId="26" fillId="11" borderId="2" xfId="0" applyFont="1" applyFill="1" applyBorder="1" applyAlignment="1" applyProtection="1">
      <alignment horizontal="center" vertical="center"/>
      <protection hidden="1"/>
    </xf>
    <xf numFmtId="0" fontId="26" fillId="11" borderId="3" xfId="0" applyFont="1" applyFill="1" applyBorder="1" applyAlignment="1" applyProtection="1">
      <alignment horizontal="center" vertical="center"/>
      <protection hidden="1"/>
    </xf>
    <xf numFmtId="0" fontId="26" fillId="11" borderId="4" xfId="0" applyFont="1" applyFill="1" applyBorder="1" applyAlignment="1" applyProtection="1">
      <alignment horizontal="center" vertical="center"/>
      <protection hidden="1"/>
    </xf>
    <xf numFmtId="0" fontId="26" fillId="11" borderId="19" xfId="0" applyFont="1" applyFill="1" applyBorder="1" applyAlignment="1" applyProtection="1">
      <alignment horizontal="center" vertical="center"/>
      <protection hidden="1"/>
    </xf>
    <xf numFmtId="0" fontId="26" fillId="11" borderId="18" xfId="0" applyFont="1" applyFill="1" applyBorder="1" applyAlignment="1" applyProtection="1">
      <alignment horizontal="center" vertical="center"/>
      <protection hidden="1"/>
    </xf>
    <xf numFmtId="0" fontId="26" fillId="11" borderId="20" xfId="0" applyFont="1" applyFill="1" applyBorder="1" applyAlignment="1" applyProtection="1">
      <alignment horizontal="center" vertical="center"/>
      <protection hidden="1"/>
    </xf>
    <xf numFmtId="0" fontId="9" fillId="10" borderId="19" xfId="0" applyFont="1" applyFill="1" applyBorder="1" applyAlignment="1" applyProtection="1">
      <alignment horizontal="right" vertical="center" wrapText="1"/>
      <protection locked="0" hidden="1"/>
    </xf>
    <xf numFmtId="0" fontId="9" fillId="10" borderId="20" xfId="0" applyFont="1" applyFill="1" applyBorder="1" applyAlignment="1" applyProtection="1">
      <alignment horizontal="right" vertical="center" wrapText="1"/>
      <protection locked="0" hidden="1"/>
    </xf>
    <xf numFmtId="0" fontId="10" fillId="5" borderId="19" xfId="0" applyFont="1" applyFill="1" applyBorder="1" applyAlignment="1" applyProtection="1">
      <alignment horizontal="center" vertical="center"/>
      <protection hidden="1"/>
    </xf>
    <xf numFmtId="0" fontId="10" fillId="5" borderId="18" xfId="0" applyFont="1" applyFill="1" applyBorder="1" applyAlignment="1" applyProtection="1">
      <alignment horizontal="center" vertical="center"/>
      <protection hidden="1"/>
    </xf>
    <xf numFmtId="0" fontId="10" fillId="5" borderId="20" xfId="0" applyFont="1" applyFill="1" applyBorder="1" applyAlignment="1" applyProtection="1">
      <alignment horizontal="center" vertical="center"/>
      <protection hidden="1"/>
    </xf>
    <xf numFmtId="3" fontId="11" fillId="10" borderId="10" xfId="0" applyNumberFormat="1" applyFont="1" applyFill="1" applyBorder="1" applyAlignment="1" applyProtection="1">
      <alignment horizontal="right"/>
      <protection locked="0" hidden="1"/>
    </xf>
    <xf numFmtId="3" fontId="11" fillId="10" borderId="12" xfId="0" applyNumberFormat="1" applyFont="1" applyFill="1" applyBorder="1" applyAlignment="1" applyProtection="1">
      <alignment horizontal="right"/>
      <protection locked="0" hidden="1"/>
    </xf>
    <xf numFmtId="0" fontId="12" fillId="8" borderId="0" xfId="0" applyFont="1" applyFill="1" applyAlignment="1" applyProtection="1">
      <alignment horizontal="center" vertical="top"/>
      <protection hidden="1"/>
    </xf>
    <xf numFmtId="0" fontId="5" fillId="8" borderId="73" xfId="0" applyFont="1" applyFill="1" applyBorder="1" applyAlignment="1" applyProtection="1">
      <alignment horizontal="center" vertical="center" textRotation="90"/>
      <protection hidden="1"/>
    </xf>
    <xf numFmtId="0" fontId="5" fillId="8" borderId="0" xfId="0" applyFont="1" applyFill="1" applyAlignment="1" applyProtection="1">
      <alignment horizontal="center"/>
      <protection hidden="1"/>
    </xf>
    <xf numFmtId="0" fontId="35" fillId="8" borderId="2" xfId="0" applyFont="1" applyFill="1" applyBorder="1" applyAlignment="1" applyProtection="1">
      <alignment horizontal="center" vertical="center"/>
      <protection hidden="1"/>
    </xf>
    <xf numFmtId="0" fontId="35" fillId="8" borderId="3" xfId="0" applyFont="1" applyFill="1" applyBorder="1" applyAlignment="1" applyProtection="1">
      <alignment horizontal="center" vertical="center"/>
      <protection hidden="1"/>
    </xf>
    <xf numFmtId="0" fontId="35" fillId="8" borderId="4" xfId="0" applyFont="1" applyFill="1" applyBorder="1" applyAlignment="1" applyProtection="1">
      <alignment horizontal="center" vertical="center"/>
      <protection hidden="1"/>
    </xf>
    <xf numFmtId="0" fontId="35" fillId="8" borderId="19" xfId="0" applyFont="1" applyFill="1" applyBorder="1" applyAlignment="1" applyProtection="1">
      <alignment horizontal="center" vertical="center"/>
      <protection hidden="1"/>
    </xf>
    <xf numFmtId="0" fontId="35" fillId="8" borderId="18" xfId="0" applyFont="1" applyFill="1" applyBorder="1" applyAlignment="1" applyProtection="1">
      <alignment horizontal="center" vertical="center"/>
      <protection hidden="1"/>
    </xf>
    <xf numFmtId="0" fontId="35" fillId="8" borderId="20" xfId="0" applyFont="1" applyFill="1" applyBorder="1" applyAlignment="1" applyProtection="1">
      <alignment horizontal="center" vertical="center"/>
      <protection hidden="1"/>
    </xf>
    <xf numFmtId="0" fontId="30" fillId="8" borderId="0" xfId="0" applyFont="1" applyFill="1" applyProtection="1">
      <protection hidden="1"/>
    </xf>
    <xf numFmtId="0" fontId="30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Protection="1">
      <protection hidden="1"/>
    </xf>
    <xf numFmtId="0" fontId="5" fillId="8" borderId="0" xfId="0" applyFont="1" applyFill="1" applyAlignment="1" applyProtection="1">
      <alignment vertical="center"/>
      <protection hidden="1"/>
    </xf>
    <xf numFmtId="0" fontId="11" fillId="10" borderId="19" xfId="0" applyFont="1" applyFill="1" applyBorder="1" applyAlignment="1" applyProtection="1">
      <alignment horizontal="right"/>
      <protection locked="0" hidden="1"/>
    </xf>
    <xf numFmtId="0" fontId="11" fillId="10" borderId="20" xfId="0" applyFont="1" applyFill="1" applyBorder="1" applyAlignment="1" applyProtection="1">
      <alignment horizontal="right"/>
      <protection locked="0" hidden="1"/>
    </xf>
    <xf numFmtId="0" fontId="24" fillId="11" borderId="36" xfId="0" applyFont="1" applyFill="1" applyBorder="1" applyAlignment="1" applyProtection="1">
      <alignment horizontal="center"/>
      <protection hidden="1"/>
    </xf>
    <xf numFmtId="0" fontId="25" fillId="0" borderId="66" xfId="0" applyFont="1" applyBorder="1" applyAlignment="1" applyProtection="1">
      <alignment horizontal="center" vertical="center" wrapText="1"/>
      <protection hidden="1"/>
    </xf>
    <xf numFmtId="0" fontId="25" fillId="0" borderId="51" xfId="0" applyFont="1" applyBorder="1" applyAlignment="1" applyProtection="1">
      <alignment horizontal="center" vertical="center" wrapText="1"/>
      <protection hidden="1"/>
    </xf>
    <xf numFmtId="0" fontId="25" fillId="0" borderId="67" xfId="0" applyFont="1" applyBorder="1" applyAlignment="1" applyProtection="1">
      <alignment horizontal="center" vertical="center" wrapText="1"/>
      <protection hidden="1"/>
    </xf>
    <xf numFmtId="0" fontId="25" fillId="0" borderId="65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68" xfId="0" applyFont="1" applyBorder="1" applyAlignment="1" applyProtection="1">
      <alignment horizontal="center" vertical="center" wrapText="1"/>
      <protection hidden="1"/>
    </xf>
    <xf numFmtId="0" fontId="25" fillId="0" borderId="69" xfId="0" applyFont="1" applyBorder="1" applyAlignment="1" applyProtection="1">
      <alignment horizontal="center" vertical="center" wrapText="1"/>
      <protection hidden="1"/>
    </xf>
    <xf numFmtId="0" fontId="25" fillId="0" borderId="70" xfId="0" applyFont="1" applyBorder="1" applyAlignment="1" applyProtection="1">
      <alignment horizontal="center" vertical="center" wrapText="1"/>
      <protection hidden="1"/>
    </xf>
    <xf numFmtId="0" fontId="25" fillId="0" borderId="71" xfId="0" applyFont="1" applyBorder="1" applyAlignment="1" applyProtection="1">
      <alignment horizontal="center" vertical="center" wrapText="1"/>
      <protection hidden="1"/>
    </xf>
  </cellXfs>
  <cellStyles count="9">
    <cellStyle name="Ausgabe" xfId="4" builtinId="21"/>
    <cellStyle name="Dezimal 2" xfId="5" xr:uid="{00000000-0005-0000-0000-000001000000}"/>
    <cellStyle name="Euro" xfId="6" xr:uid="{00000000-0005-0000-0000-000002000000}"/>
    <cellStyle name="Neutral" xfId="3" builtinId="28"/>
    <cellStyle name="Prozent" xfId="1" builtinId="5"/>
    <cellStyle name="Prozent 2" xfId="7" xr:uid="{00000000-0005-0000-0000-000005000000}"/>
    <cellStyle name="Schlecht" xfId="2" builtinId="27"/>
    <cellStyle name="Standard" xfId="0" builtinId="0"/>
    <cellStyle name="Standard 2" xfId="8" xr:uid="{00000000-0005-0000-0000-000008000000}"/>
  </cellStyles>
  <dxfs count="51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00B050"/>
      </font>
      <fill>
        <patternFill patternType="solid">
          <fgColor auto="1"/>
          <bgColor rgb="FFBAE18F"/>
        </patternFill>
      </fill>
      <border>
        <left style="thin">
          <color theme="6" tint="-0.24994659260841701"/>
        </left>
        <right style="thin">
          <color theme="6" tint="-0.24994659260841701"/>
        </right>
        <top style="thin">
          <color theme="6" tint="-0.24994659260841701"/>
        </top>
        <bottom style="thin">
          <color theme="6" tint="-0.24994659260841701"/>
        </bottom>
        <vertical/>
        <horizontal/>
      </border>
    </dxf>
    <dxf>
      <font>
        <color rgb="FF9C0006"/>
      </font>
      <fill>
        <patternFill>
          <bgColor rgb="FFFFCCCC"/>
        </patternFill>
      </fill>
    </dxf>
    <dxf>
      <font>
        <color rgb="FF00B050"/>
      </font>
      <fill>
        <patternFill>
          <bgColor rgb="FFBAE18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B050"/>
      </font>
      <fill>
        <patternFill patternType="solid">
          <fgColor auto="1"/>
          <bgColor rgb="FFBAE18F"/>
        </patternFill>
      </fill>
      <border>
        <left style="thin">
          <color theme="6" tint="-0.24994659260841701"/>
        </left>
        <right style="thin">
          <color theme="6" tint="-0.24994659260841701"/>
        </right>
        <top style="thin">
          <color theme="6" tint="-0.24994659260841701"/>
        </top>
        <bottom style="thin">
          <color theme="6" tint="-0.24994659260841701"/>
        </bottom>
        <vertical/>
        <horizontal/>
      </border>
    </dxf>
    <dxf>
      <font>
        <color rgb="FF9C0006"/>
      </font>
      <fill>
        <patternFill>
          <bgColor rgb="FFFFCCCC"/>
        </patternFill>
      </fill>
    </dxf>
    <dxf>
      <font>
        <color rgb="FF00B050"/>
      </font>
      <fill>
        <patternFill>
          <bgColor rgb="FFBAE18F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border>
        <left/>
        <bottom/>
        <vertical/>
        <horizontal/>
      </border>
    </dxf>
    <dxf>
      <border>
        <left/>
        <bottom/>
        <vertical/>
        <horizontal/>
      </border>
    </dxf>
    <dxf>
      <border>
        <left/>
        <bottom/>
        <vertical/>
        <horizontal/>
      </border>
    </dxf>
    <dxf>
      <border>
        <left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1" tint="0.499984740745262"/>
      </font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color theme="1" tint="0.499984740745262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 tint="0.499984740745262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 tint="0.499984740745262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border>
        <bottom/>
        <vertical/>
        <horizontal/>
      </border>
    </dxf>
    <dxf>
      <border>
        <bottom/>
        <vertical/>
        <horizontal/>
      </border>
    </dxf>
    <dxf>
      <border>
        <right/>
        <bottom/>
        <vertical/>
        <horizontal/>
      </border>
    </dxf>
    <dxf>
      <font>
        <color rgb="FF00B050"/>
      </font>
      <fill>
        <patternFill patternType="solid">
          <fgColor auto="1"/>
          <bgColor rgb="FFBAE18F"/>
        </patternFill>
      </fill>
      <border>
        <left style="thin">
          <color theme="6" tint="-0.24994659260841701"/>
        </left>
        <right style="thin">
          <color theme="6" tint="-0.24994659260841701"/>
        </right>
        <top style="thin">
          <color theme="6" tint="-0.24994659260841701"/>
        </top>
        <bottom style="thin">
          <color theme="6" tint="-0.24994659260841701"/>
        </bottom>
        <vertical/>
        <horizontal/>
      </border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B050"/>
      </font>
      <fill>
        <patternFill>
          <bgColor rgb="FFBAE18F"/>
        </patternFill>
      </fill>
    </dxf>
    <dxf>
      <font>
        <color rgb="FF00B050"/>
      </font>
      <fill>
        <patternFill patternType="solid">
          <fgColor auto="1"/>
          <bgColor rgb="FFBAE18F"/>
        </patternFill>
      </fill>
      <border>
        <left style="thin">
          <color theme="6" tint="-0.24994659260841701"/>
        </left>
        <right style="thin">
          <color theme="6" tint="-0.24994659260841701"/>
        </right>
        <top style="thin">
          <color theme="6" tint="-0.24994659260841701"/>
        </top>
        <bottom style="thin">
          <color theme="6" tint="-0.24994659260841701"/>
        </bottom>
        <vertical/>
        <horizontal/>
      </border>
    </dxf>
    <dxf>
      <font>
        <color rgb="FF9C0006"/>
      </font>
      <fill>
        <patternFill>
          <bgColor rgb="FFFFCCCC"/>
        </patternFill>
      </fill>
    </dxf>
    <dxf>
      <font>
        <color rgb="FF00B050"/>
      </font>
      <fill>
        <patternFill>
          <bgColor rgb="FFBAE18F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border>
        <left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C00000"/>
      </font>
      <fill>
        <patternFill>
          <bgColor rgb="FFFF7C80"/>
        </patternFill>
      </fill>
    </dxf>
    <dxf>
      <font>
        <color rgb="FFC00000"/>
      </font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9" defaultPivotStyle="PivotStyleLight16"/>
  <colors>
    <mruColors>
      <color rgb="FF9C0006"/>
      <color rgb="FFFFC7CE"/>
      <color rgb="FF000000"/>
      <color rgb="FFFFCCCC"/>
      <color rgb="FFFF9999"/>
      <color rgb="FFFFEB9C"/>
      <color rgb="FFFFFF66"/>
      <color rgb="FF9C6500"/>
      <color rgb="FFF7B12A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Auslegungshilfe!$BP$38</c:f>
              <c:strCache>
                <c:ptCount val="1"/>
                <c:pt idx="0">
                  <c:v>Laden DC</c:v>
                </c:pt>
              </c:strCache>
            </c:strRef>
          </c:tx>
          <c:spPr>
            <a:solidFill>
              <a:srgbClr val="71B326"/>
            </a:solidFill>
            <a:ln>
              <a:noFill/>
            </a:ln>
            <a:effectLst/>
          </c:spPr>
          <c:invertIfNegative val="0"/>
          <c:dLbls>
            <c:numFmt formatCode="0.0\ &quot;kW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Auslegungshilfe!$BN$37:$BO$37</c15:sqref>
                  </c15:fullRef>
                </c:ext>
              </c:extLst>
              <c:f>Auslegungshilfe!$BN$37</c:f>
              <c:numCache>
                <c:formatCode>General</c:formatCode>
                <c:ptCount val="1"/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Auslegungshilfe!$BN$38:$BO$38</c15:sqref>
                  </c15:fullRef>
                </c:ext>
              </c:extLst>
              <c:f>Auslegungshilfe!$BN$38</c:f>
              <c:numCache>
                <c:formatCode>0.0\ "kW"</c:formatCode>
                <c:ptCount val="1"/>
                <c:pt idx="0">
                  <c:v>23.04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AC-48C4-AA81-B4DC7565C4B7}"/>
            </c:ext>
          </c:extLst>
        </c:ser>
        <c:ser>
          <c:idx val="1"/>
          <c:order val="1"/>
          <c:tx>
            <c:strRef>
              <c:f>Auslegungshilfe!$BP$39</c:f>
              <c:strCache>
                <c:ptCount val="1"/>
                <c:pt idx="0">
                  <c:v>Entladen AC</c:v>
                </c:pt>
              </c:strCache>
            </c:strRef>
          </c:tx>
          <c:spPr>
            <a:solidFill>
              <a:srgbClr val="F7B12A"/>
            </a:solidFill>
            <a:ln>
              <a:noFill/>
            </a:ln>
            <a:effectLst/>
          </c:spPr>
          <c:invertIfNegative val="0"/>
          <c:dLbls>
            <c:numFmt formatCode="0.0\ &quot;kW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Auslegungshilfe!$BN$37:$BO$37</c15:sqref>
                  </c15:fullRef>
                </c:ext>
              </c:extLst>
              <c:f>Auslegungshilfe!$BN$37</c:f>
              <c:numCache>
                <c:formatCode>General</c:formatCode>
                <c:ptCount val="1"/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Auslegungshilfe!$BN$39:$BO$39</c15:sqref>
                  </c15:fullRef>
                </c:ext>
              </c:extLst>
              <c:f>Auslegungshilfe!$BN$39</c:f>
              <c:numCache>
                <c:formatCode>0.0\ "kW"</c:formatCode>
                <c:ptCount val="1"/>
                <c:pt idx="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AC-48C4-AA81-B4DC7565C4B7}"/>
            </c:ext>
          </c:extLst>
        </c:ser>
        <c:ser>
          <c:idx val="2"/>
          <c:order val="2"/>
          <c:tx>
            <c:strRef>
              <c:f>Auslegungshilfe!$BP$40</c:f>
              <c:strCache>
                <c:ptCount val="1"/>
                <c:pt idx="0">
                  <c:v>Entladen (30s)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Auslegungshilfe!$BN$37:$BO$37</c15:sqref>
                  </c15:fullRef>
                </c:ext>
              </c:extLst>
              <c:f>Auslegungshilfe!$BN$37</c:f>
              <c:numCache>
                <c:formatCode>General</c:formatCode>
                <c:ptCount val="1"/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Auslegungshilfe!$BN$40:$BO$40</c15:sqref>
                  </c15:fullRef>
                </c:ext>
              </c:extLst>
              <c:f>Auslegungshilfe!$BN$40</c:f>
              <c:numCache>
                <c:formatCode>0.0\ "kW"</c:formatCode>
                <c:ptCount val="1"/>
                <c:pt idx="0">
                  <c:v>23.04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3C-43B6-9433-36F60C28E2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-27"/>
        <c:axId val="168045184"/>
        <c:axId val="168071552"/>
      </c:barChart>
      <c:catAx>
        <c:axId val="16804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8071552"/>
        <c:crosses val="autoZero"/>
        <c:auto val="1"/>
        <c:lblAlgn val="ctr"/>
        <c:lblOffset val="100"/>
        <c:noMultiLvlLbl val="0"/>
      </c:catAx>
      <c:valAx>
        <c:axId val="168071552"/>
        <c:scaling>
          <c:orientation val="minMax"/>
        </c:scaling>
        <c:delete val="1"/>
        <c:axPos val="l"/>
        <c:numFmt formatCode="0.0\ &quot;kW&quot;" sourceLinked="1"/>
        <c:majorTickMark val="none"/>
        <c:minorTickMark val="none"/>
        <c:tickLblPos val="none"/>
        <c:crossAx val="168045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107255</xdr:colOff>
      <xdr:row>0</xdr:row>
      <xdr:rowOff>117663</xdr:rowOff>
    </xdr:from>
    <xdr:to>
      <xdr:col>2</xdr:col>
      <xdr:colOff>202308</xdr:colOff>
      <xdr:row>3</xdr:row>
      <xdr:rowOff>85949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7387D24-2964-4DCC-AE93-F54E47BC9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255" y="117663"/>
          <a:ext cx="536621" cy="537881"/>
        </a:xfrm>
        <a:prstGeom prst="rect">
          <a:avLst/>
        </a:prstGeom>
      </xdr:spPr>
    </xdr:pic>
    <xdr:clientData/>
  </xdr:twoCellAnchor>
  <xdr:twoCellAnchor>
    <xdr:from>
      <xdr:col>63</xdr:col>
      <xdr:colOff>204549</xdr:colOff>
      <xdr:row>36</xdr:row>
      <xdr:rowOff>8004</xdr:rowOff>
    </xdr:from>
    <xdr:to>
      <xdr:col>81</xdr:col>
      <xdr:colOff>2050</xdr:colOff>
      <xdr:row>59</xdr:row>
      <xdr:rowOff>173691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1CD6B8C-6CD4-4A98-B8F7-D1467A915F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0</xdr:colOff>
      <xdr:row>43</xdr:row>
      <xdr:rowOff>0</xdr:rowOff>
    </xdr:from>
    <xdr:to>
      <xdr:col>37</xdr:col>
      <xdr:colOff>0</xdr:colOff>
      <xdr:row>45</xdr:row>
      <xdr:rowOff>0</xdr:rowOff>
    </xdr:to>
    <xdr:sp macro="" textlink="">
      <xdr:nvSpPr>
        <xdr:cNvPr id="3" name="Gleichschenkliges Dreieck 2">
          <a:extLst>
            <a:ext uri="{FF2B5EF4-FFF2-40B4-BE49-F238E27FC236}">
              <a16:creationId xmlns:a16="http://schemas.microsoft.com/office/drawing/2014/main" id="{CA349CD0-4C8C-3CA2-B285-A70DEB952B00}"/>
            </a:ext>
          </a:extLst>
        </xdr:cNvPr>
        <xdr:cNvSpPr>
          <a:spLocks noChangeAspect="1"/>
        </xdr:cNvSpPr>
      </xdr:nvSpPr>
      <xdr:spPr>
        <a:xfrm>
          <a:off x="6600265" y="8382000"/>
          <a:ext cx="851647" cy="381000"/>
        </a:xfrm>
        <a:prstGeom prst="triangle">
          <a:avLst/>
        </a:prstGeom>
        <a:solidFill>
          <a:srgbClr val="000000">
            <a:alpha val="50196"/>
          </a:srgb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8">
    <pageSetUpPr fitToPage="1"/>
  </sheetPr>
  <dimension ref="A1:DD118"/>
  <sheetViews>
    <sheetView showGridLines="0" tabSelected="1" topLeftCell="A4" zoomScale="70" zoomScaleNormal="70" zoomScaleSheetLayoutView="70" workbookViewId="0">
      <selection activeCell="G11" sqref="G11:N11"/>
    </sheetView>
  </sheetViews>
  <sheetFormatPr baseColWidth="10" defaultColWidth="11.28515625" defaultRowHeight="14.25" x14ac:dyDescent="0.2"/>
  <cols>
    <col min="1" max="82" width="3.140625" style="4" customWidth="1"/>
    <col min="83" max="83" width="11.28515625" style="4" hidden="1" customWidth="1"/>
    <col min="84" max="84" width="36.5703125" style="4" hidden="1" customWidth="1"/>
    <col min="85" max="97" width="15.42578125" style="4" hidden="1" customWidth="1"/>
    <col min="98" max="98" width="17" style="4" hidden="1" customWidth="1"/>
    <col min="99" max="102" width="15.42578125" style="4" hidden="1" customWidth="1"/>
    <col min="103" max="107" width="15.42578125" style="4" customWidth="1"/>
    <col min="108" max="108" width="11.28515625" style="4" customWidth="1"/>
    <col min="109" max="16384" width="11.28515625" style="4"/>
  </cols>
  <sheetData>
    <row r="1" spans="1:108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2"/>
      <c r="AI1" s="2"/>
      <c r="AJ1" s="2"/>
      <c r="AK1" s="2"/>
      <c r="AL1" s="2"/>
      <c r="AM1" s="2"/>
      <c r="AN1" s="2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2"/>
      <c r="BQ1" s="2"/>
      <c r="BR1" s="2"/>
      <c r="BS1" s="2"/>
      <c r="BT1" s="2"/>
      <c r="BU1" s="1"/>
      <c r="BV1" s="1"/>
      <c r="BW1" s="1"/>
      <c r="BX1" s="1"/>
      <c r="BY1" s="1"/>
      <c r="BZ1" s="1"/>
      <c r="CA1" s="1"/>
      <c r="CB1" s="1"/>
      <c r="CC1" s="1"/>
      <c r="CD1" s="1"/>
      <c r="CF1" s="230" t="s">
        <v>0</v>
      </c>
      <c r="CG1" s="230"/>
      <c r="CH1" s="230"/>
      <c r="CI1" s="230"/>
    </row>
    <row r="2" spans="1:108" ht="15" customHeight="1" x14ac:dyDescent="0.2">
      <c r="A2" s="1"/>
      <c r="B2" s="231" t="s">
        <v>1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"/>
      <c r="AI2" s="5"/>
      <c r="AJ2" s="2"/>
      <c r="AK2" s="2"/>
      <c r="AL2" s="2"/>
      <c r="AM2" s="2"/>
      <c r="AN2" s="2"/>
      <c r="AO2" s="232" t="s">
        <v>2</v>
      </c>
      <c r="AP2" s="233"/>
      <c r="AQ2" s="233"/>
      <c r="AR2" s="233"/>
      <c r="AS2" s="233"/>
      <c r="AT2" s="233"/>
      <c r="AU2" s="233"/>
      <c r="AV2" s="233"/>
      <c r="AW2" s="233"/>
      <c r="AX2" s="233"/>
      <c r="AY2" s="233"/>
      <c r="AZ2" s="233"/>
      <c r="BA2" s="233"/>
      <c r="BB2" s="233"/>
      <c r="BC2" s="233"/>
      <c r="BD2" s="233"/>
      <c r="BE2" s="233"/>
      <c r="BF2" s="233"/>
      <c r="BG2" s="233"/>
      <c r="BH2" s="233"/>
      <c r="BI2" s="233"/>
      <c r="BJ2" s="233"/>
      <c r="BK2" s="233"/>
      <c r="BL2" s="233"/>
      <c r="BM2" s="233"/>
      <c r="BN2" s="233"/>
      <c r="BO2" s="233"/>
      <c r="BP2" s="2"/>
      <c r="BQ2" s="2"/>
      <c r="BR2" s="2"/>
      <c r="BS2" s="2"/>
      <c r="BT2" s="2"/>
      <c r="BU2" s="234"/>
      <c r="BV2" s="234"/>
      <c r="BW2" s="234"/>
      <c r="BX2" s="234"/>
      <c r="BY2" s="234"/>
      <c r="BZ2" s="234"/>
      <c r="CA2" s="234"/>
      <c r="CB2" s="234"/>
      <c r="CC2" s="234"/>
      <c r="CD2" s="6"/>
      <c r="CF2" s="178"/>
      <c r="CG2" s="178"/>
      <c r="CH2" s="178"/>
      <c r="CI2" s="178"/>
    </row>
    <row r="3" spans="1:108" ht="15" customHeight="1" x14ac:dyDescent="0.2">
      <c r="A3" s="7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"/>
      <c r="AI3" s="5"/>
      <c r="AJ3" s="2"/>
      <c r="AK3" s="2"/>
      <c r="AL3" s="2"/>
      <c r="AM3" s="2"/>
      <c r="AN3" s="2"/>
      <c r="AO3" s="233"/>
      <c r="AP3" s="233"/>
      <c r="AQ3" s="233"/>
      <c r="AR3" s="233"/>
      <c r="AS3" s="233"/>
      <c r="AT3" s="233"/>
      <c r="AU3" s="233"/>
      <c r="AV3" s="233"/>
      <c r="AW3" s="233"/>
      <c r="AX3" s="233"/>
      <c r="AY3" s="233"/>
      <c r="AZ3" s="233"/>
      <c r="BA3" s="233"/>
      <c r="BB3" s="233"/>
      <c r="BC3" s="233"/>
      <c r="BD3" s="233"/>
      <c r="BE3" s="233"/>
      <c r="BF3" s="233"/>
      <c r="BG3" s="233"/>
      <c r="BH3" s="233"/>
      <c r="BI3" s="233"/>
      <c r="BJ3" s="233"/>
      <c r="BK3" s="233"/>
      <c r="BL3" s="233"/>
      <c r="BM3" s="233"/>
      <c r="BN3" s="233"/>
      <c r="BO3" s="233"/>
      <c r="BP3" s="2"/>
      <c r="BQ3" s="2"/>
      <c r="BR3" s="2"/>
      <c r="BS3" s="2"/>
      <c r="BT3" s="2"/>
      <c r="BU3" s="234"/>
      <c r="BV3" s="234"/>
      <c r="BW3" s="234"/>
      <c r="BX3" s="234"/>
      <c r="BY3" s="234"/>
      <c r="BZ3" s="234"/>
      <c r="CA3" s="234"/>
      <c r="CB3" s="234"/>
      <c r="CC3" s="234"/>
      <c r="CD3" s="6"/>
      <c r="CE3" s="71">
        <f>IF(AND(M12="nein",$CL$16&lt;$CL$15),IF($CL$16=0,"",1),)</f>
        <v>0</v>
      </c>
      <c r="CF3" s="178" t="str">
        <f>IF(CE3&lt;&gt;0,"Die Akkuspannung ist zu niedrig, Sie müssen mehr Akkumodule verwenden!"&amp;CHAR(10),"")</f>
        <v/>
      </c>
      <c r="CG3" s="178"/>
      <c r="CH3" s="178"/>
      <c r="CI3" s="178"/>
    </row>
    <row r="4" spans="1:108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2"/>
      <c r="AI4" s="2"/>
      <c r="AJ4" s="2"/>
      <c r="AK4" s="2"/>
      <c r="AL4" s="2"/>
      <c r="AM4" s="2"/>
      <c r="AN4" s="2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71">
        <f>IF($F$14&gt;$CL$17,1,)</f>
        <v>0</v>
      </c>
      <c r="CF4" s="178" t="str">
        <f>IF(CE4&lt;&gt;0,"Sie können mit diesem System maximal "&amp;$CL$17&amp;" Akku-Module verwenden, reduzieren Sie die Anzahl!"&amp;CHAR(10),"")</f>
        <v/>
      </c>
      <c r="CG4" s="178"/>
      <c r="CH4" s="178"/>
      <c r="CI4" s="178"/>
    </row>
    <row r="5" spans="1:108" ht="15" customHeight="1" x14ac:dyDescent="0.2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CD5" s="8" t="s">
        <v>575</v>
      </c>
      <c r="CE5" s="188">
        <f>IF(SUM(AC19,AC27,BI19,BI27)&gt;K18,1,)</f>
        <v>1</v>
      </c>
      <c r="CF5" s="178" t="str">
        <f>IF(CE5&lt;&gt;0,"Die DC-gekoppelte PV-Leistung beträgt "&amp;ROUND(SUM(AC19,AC27,BI19,BI27)/K18*100,0)&amp;"% der Ausgangsleistung des Speichers"&amp;IF(F14&lt;&gt;0," und "&amp;CHAR(10)&amp;ROUND(SUM(AC19,AC27,BI19,BI27)/(BN38*1000)*100,0)&amp;"% der möglichen DC-Ladeleistung","")&amp;".","")</f>
        <v>Die DC-gekoppelte PV-Leistung beträgt 128% der Ausgangsleistung des Speichers und 
111% der möglichen DC-Ladeleistung.</v>
      </c>
      <c r="CG5" s="178"/>
      <c r="CH5" s="178"/>
      <c r="CI5" s="178"/>
    </row>
    <row r="6" spans="1:108" ht="15" customHeight="1" x14ac:dyDescent="0.2"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F6" s="179">
        <f>ROUND(SUM(AC19,AC27,BI19,BI27),0)</f>
        <v>25520</v>
      </c>
      <c r="CG6" s="178"/>
      <c r="CH6" s="178"/>
      <c r="CI6" s="178"/>
    </row>
    <row r="7" spans="1:108" ht="15" customHeight="1" x14ac:dyDescent="0.2">
      <c r="A7" s="235" t="s">
        <v>3</v>
      </c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7"/>
      <c r="Q7" s="235" t="s">
        <v>4</v>
      </c>
      <c r="R7" s="236"/>
      <c r="S7" s="236"/>
      <c r="T7" s="236"/>
      <c r="U7" s="236"/>
      <c r="V7" s="236"/>
      <c r="W7" s="236"/>
      <c r="X7" s="236"/>
      <c r="Y7" s="236"/>
      <c r="Z7" s="236"/>
      <c r="AA7" s="236"/>
      <c r="AB7" s="236"/>
      <c r="AC7" s="236"/>
      <c r="AD7" s="236"/>
      <c r="AE7" s="236"/>
      <c r="AF7" s="236"/>
      <c r="AG7" s="236"/>
      <c r="AH7" s="236"/>
      <c r="AI7" s="236"/>
      <c r="AJ7" s="236"/>
      <c r="AK7" s="236"/>
      <c r="AL7" s="236"/>
      <c r="AM7" s="236"/>
      <c r="AN7" s="236"/>
      <c r="AO7" s="236"/>
      <c r="AP7" s="236"/>
      <c r="AQ7" s="236"/>
      <c r="AR7" s="236"/>
      <c r="AS7" s="236"/>
      <c r="AT7" s="236"/>
      <c r="AU7" s="236"/>
      <c r="AV7" s="236"/>
      <c r="AW7" s="236"/>
      <c r="AX7" s="236"/>
      <c r="AY7" s="236"/>
      <c r="AZ7" s="236"/>
      <c r="BA7" s="236"/>
      <c r="BB7" s="236"/>
      <c r="BC7" s="236"/>
      <c r="BD7" s="236"/>
      <c r="BE7" s="236"/>
      <c r="BF7" s="236"/>
      <c r="BG7" s="236"/>
      <c r="BH7" s="236"/>
      <c r="BI7" s="236"/>
      <c r="BJ7" s="236"/>
      <c r="BK7" s="236"/>
      <c r="BL7" s="236"/>
      <c r="BM7" s="236"/>
      <c r="BN7" s="236"/>
      <c r="BO7" s="236"/>
      <c r="BP7" s="236"/>
      <c r="BQ7" s="236"/>
      <c r="BR7" s="236"/>
      <c r="BS7" s="236"/>
      <c r="BT7" s="236"/>
      <c r="BU7" s="236"/>
      <c r="BV7" s="236"/>
      <c r="BW7" s="236"/>
      <c r="BX7" s="236"/>
      <c r="BY7" s="236"/>
      <c r="BZ7" s="236"/>
      <c r="CA7" s="236"/>
      <c r="CB7" s="236"/>
      <c r="CC7" s="236"/>
      <c r="CD7" s="237"/>
      <c r="CF7" s="71"/>
      <c r="CG7" s="180"/>
      <c r="CH7" s="71"/>
      <c r="CI7" s="71"/>
    </row>
    <row r="8" spans="1:108" ht="15" customHeight="1" x14ac:dyDescent="0.2">
      <c r="A8" s="238"/>
      <c r="B8" s="239"/>
      <c r="C8" s="239"/>
      <c r="D8" s="239"/>
      <c r="E8" s="239"/>
      <c r="F8" s="239"/>
      <c r="G8" s="239"/>
      <c r="H8" s="239"/>
      <c r="I8" s="239"/>
      <c r="J8" s="239"/>
      <c r="K8" s="239"/>
      <c r="L8" s="239"/>
      <c r="M8" s="239"/>
      <c r="N8" s="239"/>
      <c r="O8" s="240"/>
      <c r="Q8" s="238"/>
      <c r="R8" s="239"/>
      <c r="S8" s="239"/>
      <c r="T8" s="239"/>
      <c r="U8" s="239"/>
      <c r="V8" s="239"/>
      <c r="W8" s="239"/>
      <c r="X8" s="239"/>
      <c r="Y8" s="239"/>
      <c r="Z8" s="239"/>
      <c r="AA8" s="239"/>
      <c r="AB8" s="239"/>
      <c r="AC8" s="239"/>
      <c r="AD8" s="239"/>
      <c r="AE8" s="239"/>
      <c r="AF8" s="239"/>
      <c r="AG8" s="239"/>
      <c r="AH8" s="239"/>
      <c r="AI8" s="239"/>
      <c r="AJ8" s="239"/>
      <c r="AK8" s="239"/>
      <c r="AL8" s="239"/>
      <c r="AM8" s="239"/>
      <c r="AN8" s="239"/>
      <c r="AO8" s="239"/>
      <c r="AP8" s="239"/>
      <c r="AQ8" s="239"/>
      <c r="AR8" s="239"/>
      <c r="AS8" s="239"/>
      <c r="AT8" s="239"/>
      <c r="AU8" s="239"/>
      <c r="AV8" s="239"/>
      <c r="AW8" s="239"/>
      <c r="AX8" s="239"/>
      <c r="AY8" s="239"/>
      <c r="AZ8" s="239"/>
      <c r="BA8" s="239"/>
      <c r="BB8" s="239"/>
      <c r="BC8" s="239"/>
      <c r="BD8" s="239"/>
      <c r="BE8" s="239"/>
      <c r="BF8" s="239"/>
      <c r="BG8" s="239"/>
      <c r="BH8" s="239"/>
      <c r="BI8" s="239"/>
      <c r="BJ8" s="239"/>
      <c r="BK8" s="239"/>
      <c r="BL8" s="239"/>
      <c r="BM8" s="239"/>
      <c r="BN8" s="239"/>
      <c r="BO8" s="239"/>
      <c r="BP8" s="239"/>
      <c r="BQ8" s="239"/>
      <c r="BR8" s="239"/>
      <c r="BS8" s="239"/>
      <c r="BT8" s="239"/>
      <c r="BU8" s="239"/>
      <c r="BV8" s="239"/>
      <c r="BW8" s="239"/>
      <c r="BX8" s="239"/>
      <c r="BY8" s="239"/>
      <c r="BZ8" s="239"/>
      <c r="CA8" s="239"/>
      <c r="CB8" s="239"/>
      <c r="CC8" s="239"/>
      <c r="CD8" s="240"/>
    </row>
    <row r="9" spans="1:108" ht="15" customHeight="1" x14ac:dyDescent="0.2">
      <c r="A9" s="11"/>
      <c r="B9" s="243" t="s">
        <v>5</v>
      </c>
      <c r="C9" s="243"/>
      <c r="D9" s="243"/>
      <c r="E9" s="243"/>
      <c r="F9" s="243"/>
      <c r="G9" s="243"/>
      <c r="H9" s="243"/>
      <c r="I9" s="243"/>
      <c r="J9" s="243"/>
      <c r="K9" s="243"/>
      <c r="L9" s="243"/>
      <c r="M9" s="243"/>
      <c r="N9" s="243"/>
      <c r="O9" s="12"/>
      <c r="Q9" s="11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2"/>
      <c r="CF9" s="57" t="s">
        <v>6</v>
      </c>
      <c r="CG9" s="57"/>
      <c r="CH9" s="57"/>
      <c r="CI9" s="57">
        <v>-20</v>
      </c>
      <c r="CJ9" s="57">
        <v>-15</v>
      </c>
      <c r="CK9" s="57">
        <v>-10</v>
      </c>
      <c r="CL9" s="57">
        <v>-5</v>
      </c>
      <c r="CM9" s="57">
        <v>0</v>
      </c>
      <c r="CN9" s="57">
        <v>5</v>
      </c>
      <c r="CO9" s="57">
        <v>10</v>
      </c>
      <c r="CP9" s="57">
        <v>15</v>
      </c>
      <c r="CQ9" s="57">
        <v>20</v>
      </c>
      <c r="CR9" s="57">
        <v>25</v>
      </c>
      <c r="CS9" s="57">
        <v>30</v>
      </c>
      <c r="CT9" s="57">
        <v>35</v>
      </c>
      <c r="CU9" s="57">
        <v>40</v>
      </c>
      <c r="CV9" s="57">
        <v>45</v>
      </c>
      <c r="CW9" s="57">
        <v>50</v>
      </c>
      <c r="CX9" s="39"/>
    </row>
    <row r="10" spans="1:108" ht="15" customHeight="1" x14ac:dyDescent="0.25">
      <c r="A10" s="11"/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12"/>
      <c r="Q10" s="11"/>
      <c r="R10" s="246" t="s">
        <v>7</v>
      </c>
      <c r="S10" s="247"/>
      <c r="T10" s="247"/>
      <c r="U10" s="247"/>
      <c r="V10" s="247"/>
      <c r="W10" s="247"/>
      <c r="X10" s="247"/>
      <c r="Y10" s="247"/>
      <c r="Z10" s="247"/>
      <c r="AA10" s="247"/>
      <c r="AB10" s="247"/>
      <c r="AC10" s="247"/>
      <c r="AD10" s="247"/>
      <c r="AE10" s="247"/>
      <c r="AF10" s="247"/>
      <c r="AG10" s="247"/>
      <c r="AH10" s="247"/>
      <c r="AI10" s="247"/>
      <c r="AJ10" s="247"/>
      <c r="AK10" s="247"/>
      <c r="AL10" s="247"/>
      <c r="AM10" s="247"/>
      <c r="AN10" s="247"/>
      <c r="AO10" s="247"/>
      <c r="AP10" s="247"/>
      <c r="AQ10" s="247"/>
      <c r="AR10" s="247"/>
      <c r="AS10" s="247"/>
      <c r="AT10" s="247"/>
      <c r="AU10" s="247"/>
      <c r="AV10" s="248"/>
      <c r="AX10" s="246" t="s">
        <v>8</v>
      </c>
      <c r="AY10" s="247"/>
      <c r="AZ10" s="247"/>
      <c r="BA10" s="247"/>
      <c r="BB10" s="247"/>
      <c r="BC10" s="247"/>
      <c r="BD10" s="247"/>
      <c r="BE10" s="247"/>
      <c r="BF10" s="247"/>
      <c r="BG10" s="247"/>
      <c r="BH10" s="247"/>
      <c r="BI10" s="247"/>
      <c r="BJ10" s="247"/>
      <c r="BK10" s="247"/>
      <c r="BL10" s="247"/>
      <c r="BM10" s="247"/>
      <c r="BN10" s="247"/>
      <c r="BO10" s="247"/>
      <c r="BP10" s="247"/>
      <c r="BQ10" s="247"/>
      <c r="BR10" s="247"/>
      <c r="BS10" s="247"/>
      <c r="BT10" s="247"/>
      <c r="BU10" s="247"/>
      <c r="BV10" s="247"/>
      <c r="BW10" s="247"/>
      <c r="BX10" s="247"/>
      <c r="BY10" s="247"/>
      <c r="BZ10" s="247"/>
      <c r="CA10" s="247"/>
      <c r="CB10" s="247"/>
      <c r="CC10" s="248"/>
      <c r="CD10" s="12"/>
      <c r="CF10" s="36" t="s">
        <v>9</v>
      </c>
      <c r="CG10" s="36"/>
      <c r="CH10" s="36"/>
      <c r="CI10" s="72">
        <f t="shared" ref="CI10:CW10" si="0">$J$40*(1+((0.01*$J$46)*(CI9-25)))</f>
        <v>40.153920000000006</v>
      </c>
      <c r="CJ10" s="72">
        <f t="shared" si="0"/>
        <v>39.719040000000007</v>
      </c>
      <c r="CK10" s="72">
        <f t="shared" si="0"/>
        <v>39.284160000000007</v>
      </c>
      <c r="CL10" s="72">
        <f t="shared" si="0"/>
        <v>38.849280000000007</v>
      </c>
      <c r="CM10" s="72">
        <f t="shared" si="0"/>
        <v>38.414400000000001</v>
      </c>
      <c r="CN10" s="72">
        <f t="shared" si="0"/>
        <v>37.979520000000001</v>
      </c>
      <c r="CO10" s="72">
        <f t="shared" si="0"/>
        <v>37.544640000000001</v>
      </c>
      <c r="CP10" s="72">
        <f t="shared" si="0"/>
        <v>37.109760000000001</v>
      </c>
      <c r="CQ10" s="72">
        <f t="shared" si="0"/>
        <v>36.674880000000002</v>
      </c>
      <c r="CR10" s="72">
        <f t="shared" si="0"/>
        <v>36.24</v>
      </c>
      <c r="CS10" s="72">
        <f t="shared" si="0"/>
        <v>35.805120000000002</v>
      </c>
      <c r="CT10" s="72">
        <f t="shared" si="0"/>
        <v>35.370240000000003</v>
      </c>
      <c r="CU10" s="72">
        <f t="shared" si="0"/>
        <v>34.935360000000003</v>
      </c>
      <c r="CV10" s="72">
        <f t="shared" si="0"/>
        <v>34.500480000000003</v>
      </c>
      <c r="CW10" s="72">
        <f t="shared" si="0"/>
        <v>34.065600000000003</v>
      </c>
      <c r="CX10" s="39"/>
    </row>
    <row r="11" spans="1:108" ht="15" customHeight="1" x14ac:dyDescent="0.2">
      <c r="A11" s="11"/>
      <c r="B11" s="10" t="s">
        <v>10</v>
      </c>
      <c r="C11" s="37"/>
      <c r="D11" s="37"/>
      <c r="E11" s="37"/>
      <c r="F11" s="37"/>
      <c r="G11" s="189" t="s">
        <v>99</v>
      </c>
      <c r="H11" s="190"/>
      <c r="I11" s="190"/>
      <c r="J11" s="190"/>
      <c r="K11" s="190"/>
      <c r="L11" s="190"/>
      <c r="M11" s="190"/>
      <c r="N11" s="191"/>
      <c r="O11" s="12"/>
      <c r="Q11" s="11"/>
      <c r="R11" s="265" t="str">
        <f>CF3&amp;CF4&amp;CF5</f>
        <v>Die DC-gekoppelte PV-Leistung beträgt 128% der Ausgangsleistung des Speichers und 
111% der möglichen DC-Ladeleistung.</v>
      </c>
      <c r="S11" s="266"/>
      <c r="T11" s="266"/>
      <c r="U11" s="266"/>
      <c r="V11" s="266"/>
      <c r="W11" s="266"/>
      <c r="X11" s="266"/>
      <c r="Y11" s="266"/>
      <c r="Z11" s="266"/>
      <c r="AA11" s="266"/>
      <c r="AB11" s="266"/>
      <c r="AC11" s="266"/>
      <c r="AD11" s="266"/>
      <c r="AE11" s="266"/>
      <c r="AF11" s="266"/>
      <c r="AG11" s="266"/>
      <c r="AH11" s="266"/>
      <c r="AI11" s="266"/>
      <c r="AJ11" s="266"/>
      <c r="AK11" s="266"/>
      <c r="AL11" s="266"/>
      <c r="AM11" s="266"/>
      <c r="AN11" s="266"/>
      <c r="AO11" s="266"/>
      <c r="AP11" s="266"/>
      <c r="AQ11" s="266"/>
      <c r="AR11" s="266"/>
      <c r="AS11" s="266"/>
      <c r="AT11" s="266"/>
      <c r="AU11" s="266"/>
      <c r="AV11" s="267"/>
      <c r="AX11" s="13"/>
      <c r="BH11" s="10"/>
      <c r="CC11" s="14"/>
      <c r="CD11" s="12"/>
      <c r="CF11" s="36" t="s">
        <v>12</v>
      </c>
      <c r="CG11" s="39"/>
      <c r="CH11" s="36"/>
      <c r="CI11" s="72">
        <f t="shared" ref="CI11:CW11" si="1">$J$38*(1+((0.01*$J$46)*(CI9-25)))</f>
        <v>33.705360000000006</v>
      </c>
      <c r="CJ11" s="72">
        <f t="shared" si="1"/>
        <v>33.340320000000006</v>
      </c>
      <c r="CK11" s="72">
        <f t="shared" si="1"/>
        <v>32.975280000000005</v>
      </c>
      <c r="CL11" s="72">
        <f t="shared" si="1"/>
        <v>32.610240000000005</v>
      </c>
      <c r="CM11" s="72">
        <f t="shared" si="1"/>
        <v>32.245200000000004</v>
      </c>
      <c r="CN11" s="72">
        <f t="shared" si="1"/>
        <v>31.880160000000004</v>
      </c>
      <c r="CO11" s="72">
        <f t="shared" si="1"/>
        <v>31.515120000000003</v>
      </c>
      <c r="CP11" s="72">
        <f t="shared" si="1"/>
        <v>31.150080000000003</v>
      </c>
      <c r="CQ11" s="72">
        <f t="shared" si="1"/>
        <v>30.785040000000002</v>
      </c>
      <c r="CR11" s="72">
        <f t="shared" si="1"/>
        <v>30.42</v>
      </c>
      <c r="CS11" s="72">
        <f t="shared" si="1"/>
        <v>30.054960000000001</v>
      </c>
      <c r="CT11" s="72">
        <f t="shared" si="1"/>
        <v>29.689920000000001</v>
      </c>
      <c r="CU11" s="72">
        <f t="shared" si="1"/>
        <v>29.32488</v>
      </c>
      <c r="CV11" s="72">
        <f t="shared" si="1"/>
        <v>28.95984</v>
      </c>
      <c r="CW11" s="72">
        <f t="shared" si="1"/>
        <v>28.594799999999999</v>
      </c>
      <c r="CX11" s="39"/>
    </row>
    <row r="12" spans="1:108" ht="15" customHeight="1" x14ac:dyDescent="0.25">
      <c r="A12" s="11"/>
      <c r="B12" s="10" t="s">
        <v>13</v>
      </c>
      <c r="M12" s="322" t="s">
        <v>14</v>
      </c>
      <c r="N12" s="323"/>
      <c r="O12" s="12"/>
      <c r="Q12" s="11"/>
      <c r="R12" s="265"/>
      <c r="S12" s="266"/>
      <c r="T12" s="266"/>
      <c r="U12" s="266"/>
      <c r="V12" s="266"/>
      <c r="W12" s="266"/>
      <c r="X12" s="266"/>
      <c r="Y12" s="266"/>
      <c r="Z12" s="266"/>
      <c r="AA12" s="266"/>
      <c r="AB12" s="266"/>
      <c r="AC12" s="266"/>
      <c r="AD12" s="266"/>
      <c r="AE12" s="266"/>
      <c r="AF12" s="266"/>
      <c r="AG12" s="266"/>
      <c r="AH12" s="266"/>
      <c r="AI12" s="266"/>
      <c r="AJ12" s="266"/>
      <c r="AK12" s="266"/>
      <c r="AL12" s="266"/>
      <c r="AM12" s="266"/>
      <c r="AN12" s="266"/>
      <c r="AO12" s="266"/>
      <c r="AP12" s="266"/>
      <c r="AQ12" s="266"/>
      <c r="AR12" s="266"/>
      <c r="AS12" s="266"/>
      <c r="AT12" s="266"/>
      <c r="AU12" s="266"/>
      <c r="AV12" s="267"/>
      <c r="AX12" s="13"/>
      <c r="AY12" s="252" t="s">
        <v>15</v>
      </c>
      <c r="AZ12" s="252"/>
      <c r="BA12" s="252"/>
      <c r="BB12" s="252"/>
      <c r="BC12" s="252"/>
      <c r="BD12" s="252"/>
      <c r="BE12" s="252"/>
      <c r="BG12" s="252" t="s">
        <v>16</v>
      </c>
      <c r="BH12" s="252"/>
      <c r="BI12" s="252"/>
      <c r="BJ12" s="252"/>
      <c r="BL12" s="252" t="s">
        <v>17</v>
      </c>
      <c r="BM12" s="252"/>
      <c r="BN12" s="252"/>
      <c r="BO12" s="252"/>
      <c r="BQ12" s="252" t="s">
        <v>18</v>
      </c>
      <c r="BR12" s="252"/>
      <c r="BS12" s="252"/>
      <c r="BT12" s="252"/>
      <c r="BU12" s="17"/>
      <c r="BV12" s="252" t="s">
        <v>19</v>
      </c>
      <c r="BW12" s="252"/>
      <c r="BX12" s="252"/>
      <c r="BY12" s="252"/>
      <c r="BZ12" s="252"/>
      <c r="CA12" s="252"/>
      <c r="CB12" s="252"/>
      <c r="CC12" s="27"/>
      <c r="CD12" s="12"/>
      <c r="CF12" s="36" t="s">
        <v>20</v>
      </c>
      <c r="CG12" s="36"/>
      <c r="CH12" s="36"/>
      <c r="CI12" s="72">
        <f>CI13/CI11</f>
        <v>11.571334648257723</v>
      </c>
      <c r="CJ12" s="72">
        <f t="shared" ref="CJ12:CW12" si="2">CJ13/CJ11</f>
        <v>11.571334648257723</v>
      </c>
      <c r="CK12" s="72">
        <f t="shared" si="2"/>
        <v>11.571334648257725</v>
      </c>
      <c r="CL12" s="72">
        <f t="shared" si="2"/>
        <v>11.571334648257725</v>
      </c>
      <c r="CM12" s="72">
        <f t="shared" si="2"/>
        <v>11.571334648257723</v>
      </c>
      <c r="CN12" s="72">
        <f t="shared" si="2"/>
        <v>11.571334648257725</v>
      </c>
      <c r="CO12" s="72">
        <f t="shared" si="2"/>
        <v>11.571334648257725</v>
      </c>
      <c r="CP12" s="72">
        <f t="shared" si="2"/>
        <v>11.571334648257723</v>
      </c>
      <c r="CQ12" s="72">
        <f t="shared" si="2"/>
        <v>11.571334648257723</v>
      </c>
      <c r="CR12" s="72">
        <f t="shared" si="2"/>
        <v>11.571334648257725</v>
      </c>
      <c r="CS12" s="72">
        <f t="shared" si="2"/>
        <v>11.571334648257725</v>
      </c>
      <c r="CT12" s="72">
        <f t="shared" si="2"/>
        <v>11.571334648257725</v>
      </c>
      <c r="CU12" s="72">
        <f t="shared" si="2"/>
        <v>11.571334648257725</v>
      </c>
      <c r="CV12" s="72">
        <f t="shared" si="2"/>
        <v>11.571334648257725</v>
      </c>
      <c r="CW12" s="72">
        <f t="shared" si="2"/>
        <v>11.571334648257725</v>
      </c>
      <c r="CX12" s="39"/>
    </row>
    <row r="13" spans="1:108" ht="15" customHeight="1" x14ac:dyDescent="0.2">
      <c r="A13" s="11"/>
      <c r="B13" s="10" t="s">
        <v>21</v>
      </c>
      <c r="C13" s="10"/>
      <c r="D13" s="10"/>
      <c r="E13" s="10"/>
      <c r="F13" s="143">
        <v>6</v>
      </c>
      <c r="G13" s="137" t="s">
        <v>22</v>
      </c>
      <c r="H13" s="189" t="s">
        <v>560</v>
      </c>
      <c r="I13" s="190"/>
      <c r="J13" s="190"/>
      <c r="K13" s="190"/>
      <c r="L13" s="190"/>
      <c r="M13" s="190"/>
      <c r="N13" s="191"/>
      <c r="O13" s="12"/>
      <c r="Q13" s="11"/>
      <c r="R13" s="265"/>
      <c r="S13" s="266"/>
      <c r="T13" s="266"/>
      <c r="U13" s="266"/>
      <c r="V13" s="266"/>
      <c r="W13" s="266"/>
      <c r="X13" s="266"/>
      <c r="Y13" s="266"/>
      <c r="Z13" s="266"/>
      <c r="AA13" s="266"/>
      <c r="AB13" s="266"/>
      <c r="AC13" s="266"/>
      <c r="AD13" s="266"/>
      <c r="AE13" s="266"/>
      <c r="AF13" s="266"/>
      <c r="AG13" s="266"/>
      <c r="AH13" s="266"/>
      <c r="AI13" s="266"/>
      <c r="AJ13" s="266"/>
      <c r="AK13" s="266"/>
      <c r="AL13" s="266"/>
      <c r="AM13" s="266"/>
      <c r="AN13" s="266"/>
      <c r="AO13" s="266"/>
      <c r="AP13" s="266"/>
      <c r="AQ13" s="266"/>
      <c r="AR13" s="266"/>
      <c r="AS13" s="266"/>
      <c r="AT13" s="266"/>
      <c r="AU13" s="266"/>
      <c r="AV13" s="267"/>
      <c r="AX13" s="13"/>
      <c r="AY13" s="259" t="s">
        <v>576</v>
      </c>
      <c r="AZ13" s="260"/>
      <c r="BA13" s="260"/>
      <c r="BB13" s="260"/>
      <c r="BC13" s="260"/>
      <c r="BD13" s="260"/>
      <c r="BE13" s="261"/>
      <c r="BF13" s="11"/>
      <c r="BG13" s="311" t="str">
        <f>SUM(AU41,AU47,AU53,AU59)&amp;"/"&amp;K22</f>
        <v>3/3</v>
      </c>
      <c r="BH13" s="312"/>
      <c r="BI13" s="312"/>
      <c r="BJ13" s="313"/>
      <c r="BL13" s="311">
        <f>AU41*AW37*BD37+AU47*AW43*BD43+AU53*AW49*BD49+AU59*AW55*BD55</f>
        <v>58</v>
      </c>
      <c r="BM13" s="312"/>
      <c r="BN13" s="312"/>
      <c r="BO13" s="313"/>
      <c r="BQ13" s="311">
        <f>IF(AY13&lt;&gt;"DC",AI38,)</f>
        <v>36</v>
      </c>
      <c r="BR13" s="312"/>
      <c r="BS13" s="312"/>
      <c r="BT13" s="313"/>
      <c r="BV13" s="253">
        <f>(BL13+BQ13)*J36/1000</f>
        <v>41.36</v>
      </c>
      <c r="BW13" s="254"/>
      <c r="BX13" s="254"/>
      <c r="BY13" s="254"/>
      <c r="BZ13" s="254"/>
      <c r="CA13" s="254"/>
      <c r="CB13" s="255"/>
      <c r="CC13" s="14"/>
      <c r="CD13" s="12"/>
      <c r="CF13" s="36" t="s">
        <v>24</v>
      </c>
      <c r="CG13" s="36"/>
      <c r="CH13" s="36"/>
      <c r="CI13" s="72">
        <f>$J$36*0.8*(1+((0.01*$J$45)*(CI9-25)))</f>
        <v>390.01600000000002</v>
      </c>
      <c r="CJ13" s="72">
        <f t="shared" ref="CJ13:CW13" si="3">$J$36*0.8*(1+((0.01*$J$45)*(CJ9-25)))</f>
        <v>385.79200000000003</v>
      </c>
      <c r="CK13" s="72">
        <f t="shared" si="3"/>
        <v>381.56800000000004</v>
      </c>
      <c r="CL13" s="72">
        <f t="shared" si="3"/>
        <v>377.34400000000005</v>
      </c>
      <c r="CM13" s="72">
        <f t="shared" si="3"/>
        <v>373.12</v>
      </c>
      <c r="CN13" s="72">
        <f t="shared" si="3"/>
        <v>368.89600000000002</v>
      </c>
      <c r="CO13" s="72">
        <f t="shared" si="3"/>
        <v>364.67200000000003</v>
      </c>
      <c r="CP13" s="72">
        <f t="shared" si="3"/>
        <v>360.44799999999998</v>
      </c>
      <c r="CQ13" s="72">
        <f t="shared" si="3"/>
        <v>356.22399999999999</v>
      </c>
      <c r="CR13" s="72">
        <f t="shared" si="3"/>
        <v>352</v>
      </c>
      <c r="CS13" s="72">
        <f t="shared" si="3"/>
        <v>347.77600000000001</v>
      </c>
      <c r="CT13" s="72">
        <f t="shared" si="3"/>
        <v>343.55200000000002</v>
      </c>
      <c r="CU13" s="72">
        <f t="shared" si="3"/>
        <v>339.32799999999997</v>
      </c>
      <c r="CV13" s="72">
        <f t="shared" si="3"/>
        <v>335.10399999999998</v>
      </c>
      <c r="CW13" s="72">
        <f t="shared" si="3"/>
        <v>330.88</v>
      </c>
      <c r="CX13" s="39"/>
    </row>
    <row r="14" spans="1:108" ht="15" customHeight="1" x14ac:dyDescent="0.6">
      <c r="A14" s="15"/>
      <c r="F14" s="187">
        <f>IF(M12="nein",F13,0)</f>
        <v>6</v>
      </c>
      <c r="O14" s="12"/>
      <c r="Q14" s="11"/>
      <c r="R14" s="265"/>
      <c r="S14" s="266"/>
      <c r="T14" s="266"/>
      <c r="U14" s="266"/>
      <c r="V14" s="266"/>
      <c r="W14" s="266"/>
      <c r="X14" s="266"/>
      <c r="Y14" s="266"/>
      <c r="Z14" s="266"/>
      <c r="AA14" s="266"/>
      <c r="AB14" s="266"/>
      <c r="AC14" s="266"/>
      <c r="AD14" s="266"/>
      <c r="AE14" s="266"/>
      <c r="AF14" s="266"/>
      <c r="AG14" s="266"/>
      <c r="AH14" s="266"/>
      <c r="AI14" s="266"/>
      <c r="AJ14" s="266"/>
      <c r="AK14" s="266"/>
      <c r="AL14" s="266"/>
      <c r="AM14" s="266"/>
      <c r="AN14" s="266"/>
      <c r="AO14" s="266"/>
      <c r="AP14" s="266"/>
      <c r="AQ14" s="266"/>
      <c r="AR14" s="266"/>
      <c r="AS14" s="266"/>
      <c r="AT14" s="266"/>
      <c r="AU14" s="266"/>
      <c r="AV14" s="267"/>
      <c r="AX14" s="13"/>
      <c r="AY14" s="262"/>
      <c r="AZ14" s="263"/>
      <c r="BA14" s="263"/>
      <c r="BB14" s="263"/>
      <c r="BC14" s="263"/>
      <c r="BD14" s="263"/>
      <c r="BE14" s="264"/>
      <c r="BF14" s="11"/>
      <c r="BG14" s="314"/>
      <c r="BH14" s="315"/>
      <c r="BI14" s="315"/>
      <c r="BJ14" s="316"/>
      <c r="BL14" s="314"/>
      <c r="BM14" s="315"/>
      <c r="BN14" s="315"/>
      <c r="BO14" s="316"/>
      <c r="BQ14" s="314"/>
      <c r="BR14" s="315"/>
      <c r="BS14" s="315"/>
      <c r="BT14" s="316"/>
      <c r="BV14" s="256"/>
      <c r="BW14" s="257"/>
      <c r="BX14" s="257"/>
      <c r="BY14" s="257"/>
      <c r="BZ14" s="257"/>
      <c r="CA14" s="257"/>
      <c r="CB14" s="258"/>
      <c r="CC14" s="29"/>
      <c r="CD14" s="12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131"/>
      <c r="CS14" s="131"/>
      <c r="CT14" s="130"/>
      <c r="CU14" s="39"/>
      <c r="CV14" s="39"/>
      <c r="CW14" s="39"/>
      <c r="CX14" s="39"/>
      <c r="CY14" s="39"/>
      <c r="CZ14" s="39"/>
    </row>
    <row r="15" spans="1:108" ht="15" customHeight="1" x14ac:dyDescent="0.6">
      <c r="A15" s="15"/>
      <c r="B15" s="37" t="s">
        <v>25</v>
      </c>
      <c r="C15" s="38"/>
      <c r="D15" s="38"/>
      <c r="E15" s="38"/>
      <c r="F15" s="38"/>
      <c r="G15" s="38"/>
      <c r="H15" s="38"/>
      <c r="I15" s="38"/>
      <c r="J15" s="38"/>
      <c r="K15" s="242">
        <f>IFERROR(VLOOKUP(H13,CG89:CM118,7,FALSE),"")*IF($G$11="SMILE-i3",$F$14+1,$F$14)</f>
        <v>21.9</v>
      </c>
      <c r="L15" s="242"/>
      <c r="M15" s="38"/>
      <c r="N15" s="70" t="s">
        <v>26</v>
      </c>
      <c r="O15" s="12"/>
      <c r="Q15" s="11"/>
      <c r="R15" s="268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69"/>
      <c r="AT15" s="269"/>
      <c r="AU15" s="269"/>
      <c r="AV15" s="270"/>
      <c r="AX15" s="18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30"/>
      <c r="CD15" s="12"/>
      <c r="CF15" s="58" t="s">
        <v>27</v>
      </c>
      <c r="CG15" s="39"/>
      <c r="CH15" s="39"/>
      <c r="CI15" s="58">
        <f>VLOOKUP($G$11,$CF$21:$CT$49,8,FALSE)</f>
        <v>850</v>
      </c>
      <c r="CJ15" s="58" t="s">
        <v>28</v>
      </c>
      <c r="CK15" s="58" t="s">
        <v>29</v>
      </c>
      <c r="CL15" s="58">
        <f>VLOOKUP($G$11,$CF$21:$CW$49,18,FALSE)</f>
        <v>160</v>
      </c>
      <c r="CM15" s="58" t="s">
        <v>28</v>
      </c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</row>
    <row r="16" spans="1:108" ht="15" customHeight="1" x14ac:dyDescent="0.2">
      <c r="A16" s="11"/>
      <c r="O16" s="12"/>
      <c r="Q16" s="11"/>
      <c r="CD16" s="12"/>
      <c r="CF16" s="58" t="s">
        <v>30</v>
      </c>
      <c r="CG16" s="39"/>
      <c r="CH16" s="39"/>
      <c r="CI16" s="58">
        <f>VLOOKUP($G$11,$CF$21:$CT$49,9,FALSE)</f>
        <v>200</v>
      </c>
      <c r="CJ16" s="58" t="s">
        <v>28</v>
      </c>
      <c r="CK16" s="58" t="s">
        <v>31</v>
      </c>
      <c r="CL16" s="39">
        <f>VLOOKUP($H$13,$CG$89:$CM$118,2,FALSE)*IF(RIGHT(H13)="P",1,IF(RIGHT(G11,2)="i3",$F$14+1,$F$14))</f>
        <v>576</v>
      </c>
      <c r="CM16" s="58" t="s">
        <v>28</v>
      </c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</row>
    <row r="17" spans="1:108" ht="15" customHeight="1" x14ac:dyDescent="0.25">
      <c r="A17" s="11"/>
      <c r="B17" s="69" t="str">
        <f>"technische Daten (WR-Typ: "&amp;VLOOKUP($G$11,$CF$21:$CT$49,13,FALSE)&amp;")"</f>
        <v>technische Daten (WR-Typ: SMILE-G3-T20-INV)</v>
      </c>
      <c r="O17" s="12"/>
      <c r="Q17" s="11"/>
      <c r="R17" s="246" t="s">
        <v>32</v>
      </c>
      <c r="S17" s="247"/>
      <c r="T17" s="247"/>
      <c r="U17" s="247"/>
      <c r="V17" s="247"/>
      <c r="W17" s="247"/>
      <c r="X17" s="247"/>
      <c r="Y17" s="247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247"/>
      <c r="AP17" s="247"/>
      <c r="AQ17" s="247"/>
      <c r="AR17" s="247"/>
      <c r="AS17" s="247"/>
      <c r="AT17" s="247"/>
      <c r="AU17" s="247"/>
      <c r="AV17" s="248"/>
      <c r="AX17" s="246" t="s">
        <v>33</v>
      </c>
      <c r="AY17" s="247"/>
      <c r="AZ17" s="247"/>
      <c r="BA17" s="247"/>
      <c r="BB17" s="247"/>
      <c r="BC17" s="247"/>
      <c r="BD17" s="247"/>
      <c r="BE17" s="247"/>
      <c r="BF17" s="247"/>
      <c r="BG17" s="247"/>
      <c r="BH17" s="247"/>
      <c r="BI17" s="247"/>
      <c r="BJ17" s="247"/>
      <c r="BK17" s="247"/>
      <c r="BL17" s="247"/>
      <c r="BM17" s="247"/>
      <c r="BN17" s="247"/>
      <c r="BO17" s="247"/>
      <c r="BP17" s="247"/>
      <c r="BQ17" s="247"/>
      <c r="BR17" s="247"/>
      <c r="BS17" s="247"/>
      <c r="BT17" s="247"/>
      <c r="BU17" s="247"/>
      <c r="BV17" s="247"/>
      <c r="BW17" s="247"/>
      <c r="BX17" s="247"/>
      <c r="BY17" s="247"/>
      <c r="BZ17" s="247"/>
      <c r="CA17" s="247"/>
      <c r="CB17" s="248"/>
      <c r="CD17" s="12"/>
      <c r="CF17" s="58" t="s">
        <v>34</v>
      </c>
      <c r="CG17" s="39"/>
      <c r="CH17" s="39"/>
      <c r="CI17" s="58">
        <f>VLOOKUP($G$11,$CF$21:$CT$49,5,FALSE)</f>
        <v>1000</v>
      </c>
      <c r="CJ17" s="58" t="s">
        <v>28</v>
      </c>
      <c r="CK17" s="58" t="s">
        <v>35</v>
      </c>
      <c r="CL17" s="39">
        <f>VLOOKUP($G$11,$CF$21:$CV$49,12,FALSE)</f>
        <v>12</v>
      </c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</row>
    <row r="18" spans="1:108" ht="15" customHeight="1" x14ac:dyDescent="0.2">
      <c r="A18" s="11"/>
      <c r="B18" s="55" t="s">
        <v>36</v>
      </c>
      <c r="C18" s="38"/>
      <c r="D18" s="38"/>
      <c r="E18" s="38"/>
      <c r="F18" s="38"/>
      <c r="G18" s="38"/>
      <c r="H18" s="38"/>
      <c r="I18" s="38"/>
      <c r="J18" s="38"/>
      <c r="K18" s="217">
        <f>VLOOKUP($G$11,$CF$21:$CT$49,2,FALSE)</f>
        <v>20000</v>
      </c>
      <c r="L18" s="217"/>
      <c r="M18" s="38"/>
      <c r="N18" s="59" t="s">
        <v>37</v>
      </c>
      <c r="O18" s="12"/>
      <c r="Q18" s="11"/>
      <c r="R18" s="164"/>
      <c r="S18" s="165"/>
      <c r="T18" s="165"/>
      <c r="U18" s="165"/>
      <c r="V18" s="165"/>
      <c r="W18" s="165"/>
      <c r="X18" s="165"/>
      <c r="Y18" s="165"/>
      <c r="Z18" s="165"/>
      <c r="AA18" s="244">
        <f>IF(OR($K$22&lt;2,$CB$25="nein"),AC19,AC19+AA27)</f>
        <v>7040</v>
      </c>
      <c r="AB18" s="244"/>
      <c r="AC18" s="244"/>
      <c r="AD18" s="245"/>
      <c r="AE18" s="245"/>
      <c r="AF18" s="245"/>
      <c r="AG18" s="165"/>
      <c r="AK18" s="165"/>
      <c r="AL18" s="165"/>
      <c r="AM18" s="194"/>
      <c r="AN18" s="194"/>
      <c r="AO18" s="194"/>
      <c r="AP18" s="165"/>
      <c r="AQ18" s="165"/>
      <c r="AR18" s="165"/>
      <c r="AS18" s="165"/>
      <c r="AT18" s="165"/>
      <c r="AU18" s="165"/>
      <c r="AV18" s="166"/>
      <c r="AX18" s="164"/>
      <c r="AY18" s="165"/>
      <c r="AZ18" s="165"/>
      <c r="BA18" s="165"/>
      <c r="BB18" s="165"/>
      <c r="BC18" s="165"/>
      <c r="BD18" s="165"/>
      <c r="BE18" s="165"/>
      <c r="BF18" s="165"/>
      <c r="BG18" s="244">
        <f>IF(OR($K$22&lt;2,$CB$25="nein"),BI19,BI19+BG27)</f>
        <v>9240</v>
      </c>
      <c r="BH18" s="244"/>
      <c r="BI18" s="244"/>
      <c r="BJ18" s="245"/>
      <c r="BK18" s="245"/>
      <c r="BL18" s="245"/>
      <c r="BM18" s="165"/>
      <c r="BQ18" s="165"/>
      <c r="BR18" s="165"/>
      <c r="BS18" s="194"/>
      <c r="BT18" s="194"/>
      <c r="BU18" s="194"/>
      <c r="BV18" s="165"/>
      <c r="BW18" s="165"/>
      <c r="BX18" s="165"/>
      <c r="BY18" s="165"/>
      <c r="BZ18" s="165"/>
      <c r="CA18" s="165"/>
      <c r="CB18" s="166"/>
      <c r="CD18" s="12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</row>
    <row r="19" spans="1:108" ht="15" customHeight="1" x14ac:dyDescent="0.25">
      <c r="A19" s="11"/>
      <c r="B19" s="55" t="s">
        <v>38</v>
      </c>
      <c r="C19" s="38"/>
      <c r="D19" s="38"/>
      <c r="E19" s="38"/>
      <c r="F19" s="38"/>
      <c r="G19" s="38"/>
      <c r="H19" s="38"/>
      <c r="I19" s="38"/>
      <c r="J19" s="38"/>
      <c r="K19" s="217">
        <f>VLOOKUP($G$11,$CF$21:$CT$49,3,FALSE)</f>
        <v>40000</v>
      </c>
      <c r="L19" s="217"/>
      <c r="M19" s="38"/>
      <c r="N19" s="59" t="s">
        <v>37</v>
      </c>
      <c r="O19" s="12"/>
      <c r="Q19" s="11"/>
      <c r="R19" s="13"/>
      <c r="S19" s="4" t="s">
        <v>39</v>
      </c>
      <c r="T19" s="10"/>
      <c r="U19" s="10"/>
      <c r="V19" s="10"/>
      <c r="W19" s="10"/>
      <c r="AC19" s="216">
        <f>IF($AU$41=0,,$AW$37*$BD$37*$J$36)</f>
        <v>7040</v>
      </c>
      <c r="AD19" s="216"/>
      <c r="AE19" s="216"/>
      <c r="AG19" s="167" t="s">
        <v>37</v>
      </c>
      <c r="AI19" s="204" t="str">
        <f>IF($AU$41=0,"",IF(($AW$37*$BD$37*$J$36)&lt;$K$19/$K$22,"OK","Leistungsbegrenzung möglich"))</f>
        <v>OK</v>
      </c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6"/>
      <c r="AV19" s="181"/>
      <c r="AX19" s="13"/>
      <c r="AY19" s="4" t="s">
        <v>39</v>
      </c>
      <c r="AZ19" s="10"/>
      <c r="BA19" s="10"/>
      <c r="BB19" s="10"/>
      <c r="BC19" s="10"/>
      <c r="BI19" s="216">
        <f>IF($AU$53=0,,$AW$49*$BD$49*$J$36)</f>
        <v>9240</v>
      </c>
      <c r="BJ19" s="216"/>
      <c r="BK19" s="216"/>
      <c r="BM19" s="167" t="s">
        <v>37</v>
      </c>
      <c r="BO19" s="204" t="str">
        <f>IF($AU$53=0,"",IF(($AW$49*$BD$49*$J$36)&lt;$K$19/$K$22,"OK","Leistungsbegrenzung möglich"))</f>
        <v>OK</v>
      </c>
      <c r="BP19" s="205"/>
      <c r="BQ19" s="205"/>
      <c r="BR19" s="205"/>
      <c r="BS19" s="205"/>
      <c r="BT19" s="205"/>
      <c r="BU19" s="205"/>
      <c r="BV19" s="205"/>
      <c r="BW19" s="205"/>
      <c r="BX19" s="205"/>
      <c r="BY19" s="205"/>
      <c r="BZ19" s="205"/>
      <c r="CA19" s="206"/>
      <c r="CB19" s="181"/>
      <c r="CD19" s="12"/>
    </row>
    <row r="20" spans="1:108" ht="15" customHeight="1" x14ac:dyDescent="0.25">
      <c r="A20" s="11"/>
      <c r="B20" s="55" t="s">
        <v>40</v>
      </c>
      <c r="C20" s="38"/>
      <c r="D20" s="38"/>
      <c r="E20" s="38"/>
      <c r="F20" s="38"/>
      <c r="G20" s="38"/>
      <c r="H20" s="38"/>
      <c r="I20" s="38"/>
      <c r="J20" s="217">
        <f>CI17</f>
        <v>1000</v>
      </c>
      <c r="K20" s="217"/>
      <c r="L20" s="217"/>
      <c r="M20" s="38"/>
      <c r="N20" s="59" t="s">
        <v>28</v>
      </c>
      <c r="O20" s="12"/>
      <c r="Q20" s="11"/>
      <c r="R20" s="13"/>
      <c r="S20" s="4" t="s">
        <v>41</v>
      </c>
      <c r="V20" s="10"/>
      <c r="AC20" s="241" t="str">
        <f>IF($AU$41=0,,TEXT(($BD$37)*MIN($CI$11:$CW$11),"0")&amp;"-"&amp;TEXT(($BD$37)*MAX($CI$11:$CW$11),"0"))</f>
        <v>458-539</v>
      </c>
      <c r="AD20" s="241"/>
      <c r="AE20" s="241"/>
      <c r="AG20" s="167" t="s">
        <v>28</v>
      </c>
      <c r="AI20" s="204" t="str">
        <f>IF($AU$41=0,"",IF(($BD$37)*MIN($CI$11:$CW$11)&lt;$CI$16,"zu wenig Module in Reihe",IF(($BD$37)*MAX($CI$11:$CW$11)&gt;$CI$15,"zu viele Module in Reihe","OK")))</f>
        <v>OK</v>
      </c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6"/>
      <c r="AV20" s="181"/>
      <c r="AX20" s="13"/>
      <c r="AY20" s="4" t="s">
        <v>41</v>
      </c>
      <c r="BB20" s="10"/>
      <c r="BI20" s="241" t="str">
        <f>IF($AU$53=0,,TEXT(($BD$49)*MIN($CI$11:$CW$11),"0")&amp;"-"&amp;TEXT(($BD$49)*MAX($CI$11:$CW$11),"0"))</f>
        <v>600-708</v>
      </c>
      <c r="BJ20" s="241"/>
      <c r="BK20" s="241"/>
      <c r="BM20" s="167" t="s">
        <v>28</v>
      </c>
      <c r="BO20" s="204" t="str">
        <f>IF($AU$53=0,"",IF(($BD$49)*MIN($CI$11:$CW$11)&lt;$CI$16,"zu wenig Module in Reihe",IF(($BD$49)*MAX($CI$11:$CW$11)&gt;$CI$15,"zu viele Module in Reihe","OK")))</f>
        <v>OK</v>
      </c>
      <c r="BP20" s="205"/>
      <c r="BQ20" s="205"/>
      <c r="BR20" s="205"/>
      <c r="BS20" s="205"/>
      <c r="BT20" s="205"/>
      <c r="BU20" s="205"/>
      <c r="BV20" s="205"/>
      <c r="BW20" s="205"/>
      <c r="BX20" s="205"/>
      <c r="BY20" s="205"/>
      <c r="BZ20" s="205"/>
      <c r="CA20" s="206"/>
      <c r="CB20" s="181"/>
      <c r="CD20" s="12"/>
      <c r="CF20" s="17" t="s">
        <v>42</v>
      </c>
      <c r="CG20" s="17" t="s">
        <v>43</v>
      </c>
      <c r="CH20" s="17" t="s">
        <v>44</v>
      </c>
      <c r="CI20" s="17" t="s">
        <v>45</v>
      </c>
      <c r="CJ20" s="17" t="s">
        <v>46</v>
      </c>
      <c r="CK20" s="17" t="s">
        <v>47</v>
      </c>
      <c r="CL20" s="17" t="s">
        <v>48</v>
      </c>
      <c r="CM20" s="17" t="s">
        <v>49</v>
      </c>
      <c r="CN20" s="17" t="s">
        <v>50</v>
      </c>
      <c r="CO20" s="17" t="s">
        <v>51</v>
      </c>
      <c r="CP20" s="4" t="s">
        <v>52</v>
      </c>
      <c r="CQ20" s="4" t="s">
        <v>53</v>
      </c>
      <c r="CR20" s="4" t="s">
        <v>54</v>
      </c>
      <c r="CS20" s="4" t="s">
        <v>55</v>
      </c>
      <c r="CT20" s="4" t="s">
        <v>56</v>
      </c>
      <c r="CU20" s="4" t="s">
        <v>57</v>
      </c>
      <c r="CV20" s="4" t="s">
        <v>58</v>
      </c>
      <c r="CW20" s="9" t="s">
        <v>59</v>
      </c>
      <c r="CX20" s="4" t="s">
        <v>60</v>
      </c>
    </row>
    <row r="21" spans="1:108" ht="15" customHeight="1" x14ac:dyDescent="0.25">
      <c r="A21" s="11"/>
      <c r="B21" s="55" t="s">
        <v>61</v>
      </c>
      <c r="C21" s="38"/>
      <c r="D21" s="38"/>
      <c r="E21" s="38"/>
      <c r="F21" s="38"/>
      <c r="G21" s="38"/>
      <c r="H21" s="38"/>
      <c r="I21" s="38"/>
      <c r="J21" s="217" t="str">
        <f>CI16&amp;"-"&amp;CI15</f>
        <v>200-850</v>
      </c>
      <c r="K21" s="217"/>
      <c r="L21" s="217"/>
      <c r="M21" s="38"/>
      <c r="N21" s="59" t="s">
        <v>28</v>
      </c>
      <c r="O21" s="12"/>
      <c r="Q21" s="11"/>
      <c r="R21" s="13"/>
      <c r="S21" s="4" t="s">
        <v>62</v>
      </c>
      <c r="AC21" s="9"/>
      <c r="AD21" s="241">
        <f>IF($AU$41=0,,($BD$37)*MAX($CI$10:$CW$10))</f>
        <v>642.4627200000001</v>
      </c>
      <c r="AE21" s="241"/>
      <c r="AG21" s="167" t="s">
        <v>28</v>
      </c>
      <c r="AI21" s="249" t="str">
        <f>IF($AU$41=0,"",IF(AD21&gt;$CI$17,"Leerlaufspannung zu hoch","OK"))</f>
        <v>OK</v>
      </c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1"/>
      <c r="AV21" s="181"/>
      <c r="AX21" s="13"/>
      <c r="AY21" s="4" t="s">
        <v>62</v>
      </c>
      <c r="BI21" s="9"/>
      <c r="BJ21" s="241">
        <f>IF($AU$53=0,,($BD$49)*MAX($CI$10:$CW$10))</f>
        <v>843.23232000000019</v>
      </c>
      <c r="BK21" s="241"/>
      <c r="BM21" s="167" t="s">
        <v>28</v>
      </c>
      <c r="BO21" s="249" t="str">
        <f>IF($AU$53=0,"",IF(BJ21&gt;$CI$17,"Leerlaufspannung zu hoch","OK"))</f>
        <v>OK</v>
      </c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0"/>
      <c r="CA21" s="251"/>
      <c r="CB21" s="181"/>
      <c r="CD21" s="12"/>
      <c r="CF21" s="4" t="s">
        <v>63</v>
      </c>
      <c r="CG21" s="156">
        <v>3680</v>
      </c>
      <c r="CH21" s="156">
        <v>7360</v>
      </c>
      <c r="CI21" s="156">
        <v>15</v>
      </c>
      <c r="CJ21" s="156">
        <v>580</v>
      </c>
      <c r="CK21" s="156">
        <v>100</v>
      </c>
      <c r="CL21" s="156" t="s">
        <v>64</v>
      </c>
      <c r="CM21" s="156">
        <v>550</v>
      </c>
      <c r="CN21" s="156">
        <v>100</v>
      </c>
      <c r="CO21" s="156" t="s">
        <v>65</v>
      </c>
      <c r="CP21" s="156">
        <v>2</v>
      </c>
      <c r="CQ21" s="156">
        <v>4</v>
      </c>
      <c r="CR21" s="4" t="s">
        <v>66</v>
      </c>
      <c r="CS21" s="156">
        <v>3.68</v>
      </c>
      <c r="CT21" s="156">
        <v>3.68</v>
      </c>
      <c r="CU21" s="4">
        <v>60</v>
      </c>
      <c r="CV21" s="4">
        <v>60</v>
      </c>
      <c r="CW21" s="4">
        <v>0</v>
      </c>
      <c r="CX21" s="156">
        <f>3.68*1.5</f>
        <v>5.5200000000000005</v>
      </c>
    </row>
    <row r="22" spans="1:108" ht="15" customHeight="1" x14ac:dyDescent="0.35">
      <c r="A22" s="11"/>
      <c r="B22" s="37" t="s">
        <v>67</v>
      </c>
      <c r="C22" s="38"/>
      <c r="D22" s="38"/>
      <c r="E22" s="38"/>
      <c r="F22" s="38"/>
      <c r="G22" s="38"/>
      <c r="H22" s="38"/>
      <c r="I22" s="38"/>
      <c r="J22" s="38"/>
      <c r="K22" s="217">
        <f>VLOOKUP($G$11,$CF$21:$CT$49,11,FALSE)</f>
        <v>3</v>
      </c>
      <c r="L22" s="217"/>
      <c r="M22" s="38"/>
      <c r="N22" s="70" t="s">
        <v>68</v>
      </c>
      <c r="O22" s="12"/>
      <c r="Q22" s="11"/>
      <c r="R22" s="13"/>
      <c r="S22" s="4" t="s">
        <v>69</v>
      </c>
      <c r="V22" s="10"/>
      <c r="W22" s="10"/>
      <c r="AC22" s="9"/>
      <c r="AD22" s="195">
        <f>IF($AU$41=0,,$AW$37*MAX($CI$12:$CW$12))</f>
        <v>11.571334648257725</v>
      </c>
      <c r="AE22" s="195"/>
      <c r="AG22" s="167" t="s">
        <v>70</v>
      </c>
      <c r="AI22" s="204" t="str">
        <f>IF($AU$41=0,"",IF($AD$22&gt;$K$23,"Begrenzung bei "&amp;$K$23&amp;"A","OK"))</f>
        <v>OK</v>
      </c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6"/>
      <c r="AV22" s="181"/>
      <c r="AX22" s="13"/>
      <c r="AY22" s="4" t="s">
        <v>69</v>
      </c>
      <c r="BB22" s="10"/>
      <c r="BC22" s="10"/>
      <c r="BI22" s="9"/>
      <c r="BJ22" s="195">
        <f>IF($AU$53=0,,$AW$49*MAX($CI$12:$CW$12))</f>
        <v>11.571334648257725</v>
      </c>
      <c r="BK22" s="195"/>
      <c r="BM22" s="167" t="s">
        <v>70</v>
      </c>
      <c r="BO22" s="204" t="str">
        <f>IF($AU$53=0,"",IF($BJ$22&gt;$K$23,"Begrenzung bei "&amp;$K$23&amp;"A","OK"))</f>
        <v>OK</v>
      </c>
      <c r="BP22" s="205"/>
      <c r="BQ22" s="205"/>
      <c r="BR22" s="205"/>
      <c r="BS22" s="205"/>
      <c r="BT22" s="205"/>
      <c r="BU22" s="205"/>
      <c r="BV22" s="205"/>
      <c r="BW22" s="205"/>
      <c r="BX22" s="205"/>
      <c r="BY22" s="205"/>
      <c r="BZ22" s="205"/>
      <c r="CA22" s="206"/>
      <c r="CB22" s="181"/>
      <c r="CD22" s="12"/>
      <c r="CF22" s="4" t="s">
        <v>71</v>
      </c>
      <c r="CG22" s="156">
        <v>4600</v>
      </c>
      <c r="CH22" s="156">
        <v>10000</v>
      </c>
      <c r="CI22" s="156">
        <v>15</v>
      </c>
      <c r="CJ22" s="156">
        <v>580</v>
      </c>
      <c r="CK22" s="156">
        <v>100</v>
      </c>
      <c r="CL22" s="156" t="s">
        <v>64</v>
      </c>
      <c r="CM22" s="156">
        <v>550</v>
      </c>
      <c r="CN22" s="156">
        <v>100</v>
      </c>
      <c r="CO22" s="156" t="s">
        <v>65</v>
      </c>
      <c r="CP22" s="156">
        <v>2</v>
      </c>
      <c r="CQ22" s="156">
        <v>4</v>
      </c>
      <c r="CR22" s="4" t="s">
        <v>72</v>
      </c>
      <c r="CS22" s="156">
        <v>4.5999999999999996</v>
      </c>
      <c r="CT22" s="156">
        <v>5</v>
      </c>
      <c r="CU22" s="4">
        <v>60</v>
      </c>
      <c r="CV22" s="4">
        <v>60</v>
      </c>
      <c r="CW22" s="4">
        <v>0</v>
      </c>
      <c r="CX22" s="156">
        <v>7.5</v>
      </c>
    </row>
    <row r="23" spans="1:108" ht="15" customHeight="1" x14ac:dyDescent="0.2">
      <c r="A23" s="11"/>
      <c r="B23" s="55" t="s">
        <v>73</v>
      </c>
      <c r="C23" s="38"/>
      <c r="D23" s="38"/>
      <c r="E23" s="38"/>
      <c r="F23" s="38"/>
      <c r="G23" s="37"/>
      <c r="H23" s="37"/>
      <c r="I23" s="38"/>
      <c r="J23" s="38"/>
      <c r="K23" s="217">
        <f>VLOOKUP($G$11,$CF$21:$CT$49,4,FALSE)</f>
        <v>18</v>
      </c>
      <c r="L23" s="217"/>
      <c r="M23" s="38"/>
      <c r="N23" s="59" t="s">
        <v>70</v>
      </c>
      <c r="O23" s="12"/>
      <c r="Q23" s="11"/>
      <c r="R23" s="18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20"/>
      <c r="AX23" s="18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20"/>
      <c r="CD23" s="12"/>
      <c r="CF23" s="4" t="s">
        <v>74</v>
      </c>
      <c r="CG23" s="156">
        <v>4000</v>
      </c>
      <c r="CH23" s="156">
        <v>8000</v>
      </c>
      <c r="CI23" s="156">
        <v>16</v>
      </c>
      <c r="CJ23" s="156">
        <v>1000</v>
      </c>
      <c r="CK23" s="156">
        <v>140</v>
      </c>
      <c r="CL23" s="156" t="s">
        <v>75</v>
      </c>
      <c r="CM23" s="156">
        <v>950</v>
      </c>
      <c r="CN23" s="156">
        <v>140</v>
      </c>
      <c r="CO23" s="156" t="s">
        <v>76</v>
      </c>
      <c r="CP23" s="156">
        <v>3</v>
      </c>
      <c r="CQ23" s="156">
        <v>6</v>
      </c>
      <c r="CR23" s="4" t="s">
        <v>77</v>
      </c>
      <c r="CS23" s="156">
        <v>4</v>
      </c>
      <c r="CT23" s="156">
        <v>4</v>
      </c>
      <c r="CU23" s="4">
        <v>40</v>
      </c>
      <c r="CV23" s="4">
        <v>40</v>
      </c>
      <c r="CW23" s="4">
        <v>90</v>
      </c>
      <c r="CX23" s="156">
        <f>CS23*1.5</f>
        <v>6</v>
      </c>
    </row>
    <row r="24" spans="1:108" ht="15" customHeight="1" x14ac:dyDescent="0.2">
      <c r="A24" s="31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8"/>
      <c r="Q24" s="11"/>
      <c r="CD24" s="12"/>
      <c r="CF24" s="4" t="s">
        <v>78</v>
      </c>
      <c r="CG24" s="156">
        <v>5000</v>
      </c>
      <c r="CH24" s="156">
        <v>10000</v>
      </c>
      <c r="CI24" s="156">
        <v>16</v>
      </c>
      <c r="CJ24" s="156">
        <v>1000</v>
      </c>
      <c r="CK24" s="156">
        <v>140</v>
      </c>
      <c r="CL24" s="156" t="s">
        <v>75</v>
      </c>
      <c r="CM24" s="156">
        <v>950</v>
      </c>
      <c r="CN24" s="156">
        <v>140</v>
      </c>
      <c r="CO24" s="156" t="s">
        <v>76</v>
      </c>
      <c r="CP24" s="156">
        <v>3</v>
      </c>
      <c r="CQ24" s="156">
        <v>6</v>
      </c>
      <c r="CR24" s="4" t="s">
        <v>79</v>
      </c>
      <c r="CS24" s="156">
        <v>5</v>
      </c>
      <c r="CT24" s="156">
        <v>5</v>
      </c>
      <c r="CU24" s="4">
        <v>40</v>
      </c>
      <c r="CV24" s="4">
        <v>40</v>
      </c>
      <c r="CW24" s="4">
        <v>90</v>
      </c>
      <c r="CX24" s="156">
        <f t="shared" ref="CX24:CX30" si="4">CS24*1.5</f>
        <v>7.5</v>
      </c>
    </row>
    <row r="25" spans="1:108" ht="15" customHeight="1" x14ac:dyDescent="0.25">
      <c r="Q25" s="11"/>
      <c r="R25" s="246" t="s">
        <v>80</v>
      </c>
      <c r="S25" s="247"/>
      <c r="T25" s="247"/>
      <c r="U25" s="247"/>
      <c r="V25" s="247"/>
      <c r="W25" s="247"/>
      <c r="X25" s="247"/>
      <c r="Y25" s="247"/>
      <c r="Z25" s="247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8"/>
      <c r="AX25" s="246" t="s">
        <v>81</v>
      </c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247"/>
      <c r="BW25" s="247"/>
      <c r="BX25" s="247"/>
      <c r="BY25" s="247"/>
      <c r="BZ25" s="247"/>
      <c r="CA25" s="247"/>
      <c r="CB25" s="248"/>
      <c r="CD25" s="12"/>
      <c r="CF25" s="4" t="s">
        <v>82</v>
      </c>
      <c r="CG25" s="156">
        <v>6000</v>
      </c>
      <c r="CH25" s="156">
        <v>12000</v>
      </c>
      <c r="CI25" s="156">
        <v>16</v>
      </c>
      <c r="CJ25" s="156">
        <v>1000</v>
      </c>
      <c r="CK25" s="156">
        <v>140</v>
      </c>
      <c r="CL25" s="156" t="s">
        <v>75</v>
      </c>
      <c r="CM25" s="156">
        <v>950</v>
      </c>
      <c r="CN25" s="156">
        <v>140</v>
      </c>
      <c r="CO25" s="156" t="s">
        <v>76</v>
      </c>
      <c r="CP25" s="156">
        <v>3</v>
      </c>
      <c r="CQ25" s="156">
        <v>6</v>
      </c>
      <c r="CR25" s="4" t="s">
        <v>83</v>
      </c>
      <c r="CS25" s="156">
        <v>6</v>
      </c>
      <c r="CT25" s="156">
        <v>6</v>
      </c>
      <c r="CU25" s="4">
        <v>40</v>
      </c>
      <c r="CV25" s="4">
        <v>40</v>
      </c>
      <c r="CW25" s="4">
        <v>90</v>
      </c>
      <c r="CX25" s="156">
        <f t="shared" si="4"/>
        <v>9</v>
      </c>
    </row>
    <row r="26" spans="1:108" ht="15" customHeight="1" x14ac:dyDescent="0.2">
      <c r="A26" s="235" t="s">
        <v>84</v>
      </c>
      <c r="B26" s="236"/>
      <c r="C26" s="236"/>
      <c r="D26" s="236"/>
      <c r="E26" s="236"/>
      <c r="F26" s="236"/>
      <c r="G26" s="236"/>
      <c r="H26" s="236"/>
      <c r="I26" s="236"/>
      <c r="J26" s="236"/>
      <c r="K26" s="236"/>
      <c r="L26" s="236"/>
      <c r="M26" s="236"/>
      <c r="N26" s="236"/>
      <c r="O26" s="237"/>
      <c r="Q26" s="11"/>
      <c r="R26" s="164"/>
      <c r="S26" s="165"/>
      <c r="T26" s="165"/>
      <c r="U26" s="165"/>
      <c r="V26" s="165"/>
      <c r="W26" s="165"/>
      <c r="X26" s="165"/>
      <c r="Y26" s="165"/>
      <c r="Z26" s="165"/>
      <c r="AA26" s="244">
        <f>IF(OR($K$22&lt;2,$CB$25="nein"),AC27,AC27+AA35)</f>
        <v>9240</v>
      </c>
      <c r="AB26" s="244"/>
      <c r="AC26" s="244"/>
      <c r="AD26" s="245"/>
      <c r="AE26" s="245"/>
      <c r="AF26" s="245"/>
      <c r="AG26" s="165"/>
      <c r="AK26" s="165"/>
      <c r="AL26" s="165"/>
      <c r="AM26" s="194"/>
      <c r="AN26" s="194"/>
      <c r="AO26" s="194"/>
      <c r="AP26" s="165"/>
      <c r="AQ26" s="165"/>
      <c r="AR26" s="165"/>
      <c r="AS26" s="165"/>
      <c r="AT26" s="165"/>
      <c r="AU26" s="165"/>
      <c r="AV26" s="166"/>
      <c r="AX26" s="164"/>
      <c r="AY26" s="165"/>
      <c r="AZ26" s="165"/>
      <c r="BA26" s="165"/>
      <c r="BB26" s="165"/>
      <c r="BC26" s="165"/>
      <c r="BD26" s="165"/>
      <c r="BE26" s="165"/>
      <c r="BF26" s="165"/>
      <c r="BG26" s="244">
        <f>IF(OR($K$22&lt;2,$CB$25="nein"),BI27,BI27+BG35)</f>
        <v>0</v>
      </c>
      <c r="BH26" s="244"/>
      <c r="BI26" s="244"/>
      <c r="BJ26" s="245"/>
      <c r="BK26" s="245"/>
      <c r="BL26" s="245"/>
      <c r="BM26" s="165"/>
      <c r="BQ26" s="165"/>
      <c r="BR26" s="165"/>
      <c r="BS26" s="194"/>
      <c r="BT26" s="194"/>
      <c r="BU26" s="194"/>
      <c r="BV26" s="165"/>
      <c r="BW26" s="165"/>
      <c r="BX26" s="165"/>
      <c r="BY26" s="165"/>
      <c r="BZ26" s="165"/>
      <c r="CA26" s="165"/>
      <c r="CB26" s="166"/>
      <c r="CD26" s="12"/>
      <c r="CF26" s="4" t="s">
        <v>85</v>
      </c>
      <c r="CG26" s="156">
        <v>8000</v>
      </c>
      <c r="CH26" s="156">
        <v>16000</v>
      </c>
      <c r="CI26" s="156">
        <v>16</v>
      </c>
      <c r="CJ26" s="156">
        <v>1000</v>
      </c>
      <c r="CK26" s="156">
        <v>140</v>
      </c>
      <c r="CL26" s="156" t="s">
        <v>75</v>
      </c>
      <c r="CM26" s="156">
        <v>950</v>
      </c>
      <c r="CN26" s="156">
        <v>140</v>
      </c>
      <c r="CO26" s="156" t="s">
        <v>76</v>
      </c>
      <c r="CP26" s="156">
        <v>3</v>
      </c>
      <c r="CQ26" s="156">
        <v>6</v>
      </c>
      <c r="CR26" s="4" t="s">
        <v>86</v>
      </c>
      <c r="CS26" s="156">
        <v>8</v>
      </c>
      <c r="CT26" s="156">
        <v>8</v>
      </c>
      <c r="CU26" s="4">
        <v>40</v>
      </c>
      <c r="CV26" s="4">
        <v>40</v>
      </c>
      <c r="CW26" s="4">
        <v>90</v>
      </c>
      <c r="CX26" s="156">
        <f t="shared" si="4"/>
        <v>12</v>
      </c>
    </row>
    <row r="27" spans="1:108" ht="15" customHeight="1" x14ac:dyDescent="0.25">
      <c r="A27" s="238"/>
      <c r="B27" s="239"/>
      <c r="C27" s="239"/>
      <c r="D27" s="239"/>
      <c r="E27" s="239"/>
      <c r="F27" s="239"/>
      <c r="G27" s="239"/>
      <c r="H27" s="239"/>
      <c r="I27" s="239"/>
      <c r="J27" s="239"/>
      <c r="K27" s="239"/>
      <c r="L27" s="239"/>
      <c r="M27" s="239"/>
      <c r="N27" s="239"/>
      <c r="O27" s="240"/>
      <c r="Q27" s="11"/>
      <c r="R27" s="13"/>
      <c r="S27" s="4" t="s">
        <v>39</v>
      </c>
      <c r="T27" s="10"/>
      <c r="U27" s="10"/>
      <c r="V27" s="10"/>
      <c r="W27" s="10"/>
      <c r="AC27" s="216">
        <f>IF($AU$47=0,,$AW$43*$BD$43*$J$36)</f>
        <v>9240</v>
      </c>
      <c r="AD27" s="216"/>
      <c r="AE27" s="216"/>
      <c r="AG27" s="167" t="s">
        <v>37</v>
      </c>
      <c r="AI27" s="204" t="str">
        <f>IF($AU$47=0,"",IF(($AW$43*$BD$43*$J$36)&lt;$K$19/$K$22,"OK","Leistungsbegrenzung möglich"))</f>
        <v>OK</v>
      </c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6"/>
      <c r="AV27" s="181"/>
      <c r="AX27" s="13"/>
      <c r="AY27" s="4" t="s">
        <v>39</v>
      </c>
      <c r="AZ27" s="10"/>
      <c r="BA27" s="10"/>
      <c r="BB27" s="10"/>
      <c r="BC27" s="10"/>
      <c r="BI27" s="216">
        <f>IF($AU$59=0,,$AW$55*$BD$55*$J$36)</f>
        <v>0</v>
      </c>
      <c r="BJ27" s="216"/>
      <c r="BK27" s="216"/>
      <c r="BM27" s="167" t="s">
        <v>37</v>
      </c>
      <c r="BO27" s="204" t="str">
        <f>IF($AU$59=0,"",IF(($AW$55*$BD$55*$J$36)&lt;$K$19/$K$22,"OK","Leistungsbegrenzung möglich"))</f>
        <v/>
      </c>
      <c r="BP27" s="205"/>
      <c r="BQ27" s="205"/>
      <c r="BR27" s="205"/>
      <c r="BS27" s="205"/>
      <c r="BT27" s="205"/>
      <c r="BU27" s="205"/>
      <c r="BV27" s="205"/>
      <c r="BW27" s="205"/>
      <c r="BX27" s="205"/>
      <c r="BY27" s="205"/>
      <c r="BZ27" s="205"/>
      <c r="CA27" s="206"/>
      <c r="CB27" s="181"/>
      <c r="CD27" s="12"/>
      <c r="CF27" s="4" t="s">
        <v>87</v>
      </c>
      <c r="CG27" s="156">
        <v>10000</v>
      </c>
      <c r="CH27" s="156">
        <v>20000</v>
      </c>
      <c r="CI27" s="156">
        <v>16</v>
      </c>
      <c r="CJ27" s="156">
        <v>1000</v>
      </c>
      <c r="CK27" s="156">
        <v>140</v>
      </c>
      <c r="CL27" s="156" t="s">
        <v>75</v>
      </c>
      <c r="CM27" s="156">
        <v>950</v>
      </c>
      <c r="CN27" s="156">
        <v>140</v>
      </c>
      <c r="CO27" s="156" t="s">
        <v>76</v>
      </c>
      <c r="CP27" s="156">
        <v>3</v>
      </c>
      <c r="CQ27" s="156">
        <v>6</v>
      </c>
      <c r="CR27" s="4" t="s">
        <v>88</v>
      </c>
      <c r="CS27" s="156">
        <v>10</v>
      </c>
      <c r="CT27" s="156">
        <v>10</v>
      </c>
      <c r="CU27" s="4">
        <v>40</v>
      </c>
      <c r="CV27" s="4">
        <v>40</v>
      </c>
      <c r="CW27" s="4">
        <v>90</v>
      </c>
      <c r="CX27" s="156">
        <f t="shared" si="4"/>
        <v>15</v>
      </c>
    </row>
    <row r="28" spans="1:108" ht="15" customHeight="1" x14ac:dyDescent="0.25">
      <c r="A28" s="11"/>
      <c r="O28" s="26"/>
      <c r="Q28" s="11"/>
      <c r="R28" s="13"/>
      <c r="S28" s="4" t="s">
        <v>41</v>
      </c>
      <c r="V28" s="10"/>
      <c r="AC28" s="241" t="str">
        <f>IF($AU$47=0,,TEXT(($BD$43)*MIN($CI$11:$CW$11),"0")&amp;"-"&amp;TEXT(($BD$43)*MAX($CI$11:$CW$11),"0"))</f>
        <v>600-708</v>
      </c>
      <c r="AD28" s="241"/>
      <c r="AE28" s="241"/>
      <c r="AG28" s="167" t="s">
        <v>28</v>
      </c>
      <c r="AI28" s="204" t="str">
        <f>IF($AU$47=0,"",IF(($BD$43)*MIN($CI$11:$CW$11)&lt;$CI$16,"zu wenig Module in Reihe",IF(($BD$43)*MAX($CI$11:$CW$11)&gt;$CI$15,"zu viele Module in Reihe","OK")))</f>
        <v>OK</v>
      </c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6"/>
      <c r="AV28" s="181"/>
      <c r="AX28" s="13"/>
      <c r="AY28" s="4" t="s">
        <v>41</v>
      </c>
      <c r="BB28" s="10"/>
      <c r="BI28" s="241">
        <f>IF($AU$59=0,,TEXT(($BD$55)*MIN($CI$11:$CW$11),"0")&amp;"-"&amp;TEXT(($BD$55)*MAX($CI$11:$CW$11),"0"))</f>
        <v>0</v>
      </c>
      <c r="BJ28" s="241"/>
      <c r="BK28" s="241"/>
      <c r="BM28" s="167" t="s">
        <v>28</v>
      </c>
      <c r="BO28" s="204" t="str">
        <f>IF($AU$59=0,"",IF(($BD$55)*MIN($CI$11:$CW$11)&lt;$CI$16,"zu wenig Module in Reihe",IF(($BD$55)*MAX($CI$11:$CW$11)&gt;$CI$15,"zu viele Module in Reihe","OK")))</f>
        <v/>
      </c>
      <c r="BP28" s="205"/>
      <c r="BQ28" s="205"/>
      <c r="BR28" s="205"/>
      <c r="BS28" s="205"/>
      <c r="BT28" s="205"/>
      <c r="BU28" s="205"/>
      <c r="BV28" s="205"/>
      <c r="BW28" s="205"/>
      <c r="BX28" s="205"/>
      <c r="BY28" s="205"/>
      <c r="BZ28" s="205"/>
      <c r="CA28" s="206"/>
      <c r="CB28" s="181"/>
      <c r="CD28" s="12"/>
      <c r="CF28" s="4" t="s">
        <v>89</v>
      </c>
      <c r="CG28" s="156">
        <v>12000</v>
      </c>
      <c r="CH28" s="156">
        <v>24000</v>
      </c>
      <c r="CI28" s="156">
        <v>18</v>
      </c>
      <c r="CJ28" s="156">
        <v>1000</v>
      </c>
      <c r="CK28" s="156">
        <v>200</v>
      </c>
      <c r="CL28" s="156" t="s">
        <v>90</v>
      </c>
      <c r="CM28" s="156">
        <v>850</v>
      </c>
      <c r="CN28" s="156">
        <v>200</v>
      </c>
      <c r="CO28" s="156" t="s">
        <v>91</v>
      </c>
      <c r="CP28" s="156">
        <v>3</v>
      </c>
      <c r="CQ28" s="156">
        <v>12</v>
      </c>
      <c r="CR28" s="4" t="s">
        <v>92</v>
      </c>
      <c r="CS28" s="156">
        <v>12</v>
      </c>
      <c r="CT28" s="156">
        <v>12</v>
      </c>
      <c r="CU28" s="9">
        <v>60</v>
      </c>
      <c r="CV28" s="4">
        <v>60</v>
      </c>
      <c r="CW28" s="4">
        <v>160</v>
      </c>
      <c r="CX28" s="156">
        <f t="shared" si="4"/>
        <v>18</v>
      </c>
    </row>
    <row r="29" spans="1:108" ht="15" x14ac:dyDescent="0.25">
      <c r="A29" s="15"/>
      <c r="B29" s="10" t="s">
        <v>93</v>
      </c>
      <c r="C29" s="10"/>
      <c r="D29" s="10"/>
      <c r="E29" s="10"/>
      <c r="F29" s="10"/>
      <c r="G29" s="10"/>
      <c r="H29" s="198" t="s">
        <v>94</v>
      </c>
      <c r="I29" s="199"/>
      <c r="J29" s="199"/>
      <c r="K29" s="199"/>
      <c r="L29" s="199"/>
      <c r="M29" s="199"/>
      <c r="N29" s="200"/>
      <c r="O29" s="26"/>
      <c r="Q29" s="11"/>
      <c r="R29" s="13"/>
      <c r="S29" s="4" t="s">
        <v>62</v>
      </c>
      <c r="AC29" s="9"/>
      <c r="AD29" s="241">
        <f>IF($AU$47=0,,($BD$43)*MAX($CI$10:$CW$10))</f>
        <v>843.23232000000019</v>
      </c>
      <c r="AE29" s="241"/>
      <c r="AG29" s="167" t="s">
        <v>28</v>
      </c>
      <c r="AI29" s="249" t="str">
        <f>IF($AU$47=0,"",IF(AD29&gt;$CI$17,"Leerlaufspannung zu hoch","OK"))</f>
        <v>OK</v>
      </c>
      <c r="AJ29" s="250"/>
      <c r="AK29" s="250"/>
      <c r="AL29" s="250"/>
      <c r="AM29" s="250"/>
      <c r="AN29" s="250"/>
      <c r="AO29" s="250"/>
      <c r="AP29" s="250"/>
      <c r="AQ29" s="250"/>
      <c r="AR29" s="250"/>
      <c r="AS29" s="250"/>
      <c r="AT29" s="250"/>
      <c r="AU29" s="251"/>
      <c r="AV29" s="181"/>
      <c r="AX29" s="13"/>
      <c r="AY29" s="4" t="s">
        <v>62</v>
      </c>
      <c r="BI29" s="9"/>
      <c r="BJ29" s="241">
        <f>IF($AU$59=0,,($BD$55)*MAX($CI$10:$CW$10))</f>
        <v>0</v>
      </c>
      <c r="BK29" s="241"/>
      <c r="BM29" s="167" t="s">
        <v>28</v>
      </c>
      <c r="BO29" s="249" t="str">
        <f>IF($AU$59=0,"",IF(BJ29&gt;$CI$17,"Leerlaufspannung zu hoch","OK"))</f>
        <v/>
      </c>
      <c r="BP29" s="250"/>
      <c r="BQ29" s="250"/>
      <c r="BR29" s="250"/>
      <c r="BS29" s="250"/>
      <c r="BT29" s="250"/>
      <c r="BU29" s="250"/>
      <c r="BV29" s="250"/>
      <c r="BW29" s="250"/>
      <c r="BX29" s="250"/>
      <c r="BY29" s="250"/>
      <c r="BZ29" s="250"/>
      <c r="CA29" s="251"/>
      <c r="CB29" s="181"/>
      <c r="CD29" s="12"/>
      <c r="CF29" s="4" t="s">
        <v>95</v>
      </c>
      <c r="CG29" s="156">
        <v>15000</v>
      </c>
      <c r="CH29" s="156">
        <v>30000</v>
      </c>
      <c r="CI29" s="156">
        <v>18</v>
      </c>
      <c r="CJ29" s="156">
        <v>1000</v>
      </c>
      <c r="CK29" s="156">
        <v>200</v>
      </c>
      <c r="CL29" s="156" t="s">
        <v>90</v>
      </c>
      <c r="CM29" s="156">
        <v>850</v>
      </c>
      <c r="CN29" s="156">
        <v>200</v>
      </c>
      <c r="CO29" s="156" t="s">
        <v>91</v>
      </c>
      <c r="CP29" s="156">
        <v>3</v>
      </c>
      <c r="CQ29" s="156">
        <v>12</v>
      </c>
      <c r="CR29" s="4" t="s">
        <v>96</v>
      </c>
      <c r="CS29" s="21">
        <v>15</v>
      </c>
      <c r="CT29" s="156">
        <v>15</v>
      </c>
      <c r="CU29" s="4">
        <v>60</v>
      </c>
      <c r="CV29" s="4">
        <v>60</v>
      </c>
      <c r="CW29" s="4">
        <v>160</v>
      </c>
      <c r="CX29" s="156">
        <f t="shared" si="4"/>
        <v>22.5</v>
      </c>
    </row>
    <row r="30" spans="1:108" ht="15" customHeight="1" x14ac:dyDescent="0.35">
      <c r="A30" s="15"/>
      <c r="B30" s="10" t="s">
        <v>97</v>
      </c>
      <c r="C30" s="10"/>
      <c r="D30" s="10"/>
      <c r="E30" s="10"/>
      <c r="F30" s="10"/>
      <c r="G30" s="10"/>
      <c r="H30" s="198" t="s">
        <v>98</v>
      </c>
      <c r="I30" s="199"/>
      <c r="J30" s="199"/>
      <c r="K30" s="199"/>
      <c r="L30" s="199"/>
      <c r="M30" s="199"/>
      <c r="N30" s="200"/>
      <c r="O30" s="26"/>
      <c r="Q30" s="11"/>
      <c r="R30" s="13"/>
      <c r="S30" s="4" t="s">
        <v>69</v>
      </c>
      <c r="V30" s="10"/>
      <c r="W30" s="10"/>
      <c r="AC30" s="9"/>
      <c r="AD30" s="195">
        <f>IF($AU$47=0,,$AW$43*MAX($CI$12:$CW$12))</f>
        <v>11.571334648257725</v>
      </c>
      <c r="AE30" s="195"/>
      <c r="AG30" s="167" t="s">
        <v>70</v>
      </c>
      <c r="AI30" s="204" t="str">
        <f>IF($AU$47=0,"",IF($AD$30&gt;$K$23,"Begrenzung bei "&amp;$K$23&amp;"A","OK"))</f>
        <v>OK</v>
      </c>
      <c r="AJ30" s="205"/>
      <c r="AK30" s="205"/>
      <c r="AL30" s="205"/>
      <c r="AM30" s="205"/>
      <c r="AN30" s="205"/>
      <c r="AO30" s="205"/>
      <c r="AP30" s="205"/>
      <c r="AQ30" s="205"/>
      <c r="AR30" s="205"/>
      <c r="AS30" s="205"/>
      <c r="AT30" s="205"/>
      <c r="AU30" s="206"/>
      <c r="AV30" s="181"/>
      <c r="AX30" s="13"/>
      <c r="AY30" s="4" t="s">
        <v>69</v>
      </c>
      <c r="BB30" s="10"/>
      <c r="BC30" s="10"/>
      <c r="BI30" s="9"/>
      <c r="BJ30" s="195">
        <f>IF($AU$59=0,,$AW$55*MAX($CI$12:$CW$12))</f>
        <v>0</v>
      </c>
      <c r="BK30" s="195"/>
      <c r="BM30" s="167" t="s">
        <v>70</v>
      </c>
      <c r="BO30" s="204" t="str">
        <f>IF($AU$59=0,"",IF($BJ$30&gt;$K$23,"Begrenzung bei "&amp;$K$23&amp;"A","OK"))</f>
        <v/>
      </c>
      <c r="BP30" s="205"/>
      <c r="BQ30" s="205"/>
      <c r="BR30" s="205"/>
      <c r="BS30" s="205"/>
      <c r="BT30" s="205"/>
      <c r="BU30" s="205"/>
      <c r="BV30" s="205"/>
      <c r="BW30" s="205"/>
      <c r="BX30" s="205"/>
      <c r="BY30" s="205"/>
      <c r="BZ30" s="205"/>
      <c r="CA30" s="206"/>
      <c r="CB30" s="181"/>
      <c r="CD30" s="26"/>
      <c r="CF30" s="4" t="s">
        <v>99</v>
      </c>
      <c r="CG30" s="156">
        <v>20000</v>
      </c>
      <c r="CH30" s="156">
        <v>40000</v>
      </c>
      <c r="CI30" s="156">
        <v>18</v>
      </c>
      <c r="CJ30" s="156">
        <v>1000</v>
      </c>
      <c r="CK30" s="156">
        <v>200</v>
      </c>
      <c r="CL30" s="156" t="s">
        <v>90</v>
      </c>
      <c r="CM30" s="156">
        <v>850</v>
      </c>
      <c r="CN30" s="156">
        <v>200</v>
      </c>
      <c r="CO30" s="156" t="s">
        <v>91</v>
      </c>
      <c r="CP30" s="156">
        <v>3</v>
      </c>
      <c r="CQ30" s="156">
        <v>12</v>
      </c>
      <c r="CR30" s="4" t="s">
        <v>100</v>
      </c>
      <c r="CS30" s="21">
        <v>20</v>
      </c>
      <c r="CT30" s="156">
        <v>20</v>
      </c>
      <c r="CU30" s="4">
        <v>60</v>
      </c>
      <c r="CV30" s="4">
        <v>60</v>
      </c>
      <c r="CW30" s="4">
        <v>160</v>
      </c>
      <c r="CX30" s="156">
        <f t="shared" si="4"/>
        <v>30</v>
      </c>
    </row>
    <row r="31" spans="1:108" ht="15" customHeight="1" x14ac:dyDescent="0.2">
      <c r="A31" s="22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3"/>
      <c r="N31" s="24"/>
      <c r="O31" s="28"/>
      <c r="Q31" s="11"/>
      <c r="R31" s="18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20"/>
      <c r="AX31" s="18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20"/>
      <c r="CD31" s="26"/>
      <c r="CF31" s="4" t="s">
        <v>101</v>
      </c>
      <c r="CG31" s="156">
        <v>29900</v>
      </c>
      <c r="CH31" s="156">
        <v>45000</v>
      </c>
      <c r="CI31" s="156">
        <v>35</v>
      </c>
      <c r="CJ31" s="156">
        <v>830</v>
      </c>
      <c r="CK31" s="156">
        <v>250</v>
      </c>
      <c r="CL31" s="156" t="s">
        <v>102</v>
      </c>
      <c r="CM31" s="156">
        <v>750</v>
      </c>
      <c r="CN31" s="156">
        <v>200</v>
      </c>
      <c r="CO31" s="156" t="s">
        <v>103</v>
      </c>
      <c r="CP31" s="156">
        <v>3</v>
      </c>
      <c r="CQ31" s="156">
        <v>8</v>
      </c>
      <c r="CR31" s="4" t="s">
        <v>104</v>
      </c>
      <c r="CS31" s="21">
        <v>29.9</v>
      </c>
      <c r="CT31" s="156">
        <v>30</v>
      </c>
      <c r="CU31" s="4">
        <v>90</v>
      </c>
      <c r="CV31" s="4">
        <v>90</v>
      </c>
      <c r="CW31" s="4">
        <v>200</v>
      </c>
      <c r="CX31" s="156">
        <f>CS31*1.2</f>
        <v>35.879999999999995</v>
      </c>
    </row>
    <row r="32" spans="1:108" ht="15" customHeight="1" x14ac:dyDescent="0.2">
      <c r="Q32" s="31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3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5"/>
      <c r="CF32" s="4" t="s">
        <v>105</v>
      </c>
      <c r="CG32" s="156">
        <v>30000</v>
      </c>
      <c r="CH32" s="156">
        <v>45000</v>
      </c>
      <c r="CI32" s="156">
        <v>35</v>
      </c>
      <c r="CJ32" s="156">
        <v>830</v>
      </c>
      <c r="CK32" s="156">
        <v>250</v>
      </c>
      <c r="CL32" s="156" t="s">
        <v>102</v>
      </c>
      <c r="CM32" s="156">
        <v>750</v>
      </c>
      <c r="CN32" s="156">
        <v>200</v>
      </c>
      <c r="CO32" s="156" t="s">
        <v>103</v>
      </c>
      <c r="CP32" s="156">
        <v>3</v>
      </c>
      <c r="CQ32" s="156">
        <v>12</v>
      </c>
      <c r="CR32" s="4" t="s">
        <v>104</v>
      </c>
      <c r="CS32" s="21">
        <v>29.9</v>
      </c>
      <c r="CT32" s="156">
        <v>30</v>
      </c>
      <c r="CU32" s="4">
        <v>90</v>
      </c>
      <c r="CV32" s="4">
        <v>90</v>
      </c>
      <c r="CW32" s="4">
        <v>200</v>
      </c>
      <c r="CX32" s="156">
        <f>CS32*1.2</f>
        <v>35.879999999999995</v>
      </c>
    </row>
    <row r="33" spans="1:102" ht="15" customHeight="1" x14ac:dyDescent="0.2">
      <c r="A33" s="235" t="s">
        <v>106</v>
      </c>
      <c r="B33" s="236"/>
      <c r="C33" s="236"/>
      <c r="D33" s="236"/>
      <c r="E33" s="236"/>
      <c r="F33" s="236"/>
      <c r="G33" s="236"/>
      <c r="H33" s="236"/>
      <c r="I33" s="236"/>
      <c r="J33" s="236"/>
      <c r="K33" s="236"/>
      <c r="L33" s="236"/>
      <c r="M33" s="236"/>
      <c r="N33" s="236"/>
      <c r="O33" s="237"/>
      <c r="CF33" s="4" t="s">
        <v>107</v>
      </c>
      <c r="CG33" s="156">
        <v>29900</v>
      </c>
      <c r="CH33" s="156">
        <v>45000</v>
      </c>
      <c r="CI33" s="156">
        <v>35</v>
      </c>
      <c r="CJ33" s="156">
        <v>830</v>
      </c>
      <c r="CK33" s="156">
        <v>250</v>
      </c>
      <c r="CL33" s="156" t="s">
        <v>102</v>
      </c>
      <c r="CM33" s="156">
        <v>750</v>
      </c>
      <c r="CN33" s="156">
        <v>200</v>
      </c>
      <c r="CO33" s="156" t="s">
        <v>103</v>
      </c>
      <c r="CP33" s="156">
        <v>3</v>
      </c>
      <c r="CQ33" s="156">
        <v>8</v>
      </c>
      <c r="CR33" s="4" t="s">
        <v>108</v>
      </c>
      <c r="CS33" s="21">
        <v>30</v>
      </c>
      <c r="CT33" s="156">
        <v>30</v>
      </c>
      <c r="CU33" s="4">
        <v>90</v>
      </c>
      <c r="CV33" s="4">
        <v>90</v>
      </c>
      <c r="CW33" s="4">
        <v>200</v>
      </c>
      <c r="CX33" s="156">
        <f>CS33*1.2</f>
        <v>36</v>
      </c>
    </row>
    <row r="34" spans="1:102" ht="15" customHeight="1" x14ac:dyDescent="0.2">
      <c r="A34" s="238"/>
      <c r="B34" s="239"/>
      <c r="C34" s="239"/>
      <c r="D34" s="239"/>
      <c r="E34" s="239"/>
      <c r="F34" s="239"/>
      <c r="G34" s="239"/>
      <c r="H34" s="239"/>
      <c r="I34" s="239"/>
      <c r="J34" s="239"/>
      <c r="K34" s="239"/>
      <c r="L34" s="239"/>
      <c r="M34" s="239"/>
      <c r="N34" s="239"/>
      <c r="O34" s="240"/>
      <c r="Q34" s="235" t="s">
        <v>109</v>
      </c>
      <c r="R34" s="236"/>
      <c r="S34" s="236"/>
      <c r="T34" s="236"/>
      <c r="U34" s="236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236"/>
      <c r="AH34" s="236"/>
      <c r="AI34" s="236"/>
      <c r="AJ34" s="236"/>
      <c r="AK34" s="236"/>
      <c r="AL34" s="236"/>
      <c r="AM34" s="236"/>
      <c r="AN34" s="236"/>
      <c r="AO34" s="236"/>
      <c r="AP34" s="236"/>
      <c r="AQ34" s="236"/>
      <c r="AR34" s="236"/>
      <c r="AS34" s="236"/>
      <c r="AT34" s="236"/>
      <c r="AU34" s="236"/>
      <c r="AV34" s="236"/>
      <c r="AW34" s="236"/>
      <c r="AX34" s="236"/>
      <c r="AY34" s="236"/>
      <c r="AZ34" s="236"/>
      <c r="BA34" s="236"/>
      <c r="BB34" s="236"/>
      <c r="BC34" s="236"/>
      <c r="BD34" s="236"/>
      <c r="BE34" s="236"/>
      <c r="BF34" s="236"/>
      <c r="BG34" s="236"/>
      <c r="BH34" s="236"/>
      <c r="BI34" s="236"/>
      <c r="BJ34" s="237"/>
      <c r="BL34" s="235" t="s">
        <v>110</v>
      </c>
      <c r="BM34" s="236"/>
      <c r="BN34" s="236"/>
      <c r="BO34" s="236"/>
      <c r="BP34" s="236"/>
      <c r="BQ34" s="236"/>
      <c r="BR34" s="236"/>
      <c r="BS34" s="236"/>
      <c r="BT34" s="236"/>
      <c r="BU34" s="236"/>
      <c r="BV34" s="236"/>
      <c r="BW34" s="236"/>
      <c r="BX34" s="236"/>
      <c r="BY34" s="236"/>
      <c r="BZ34" s="236"/>
      <c r="CA34" s="236"/>
      <c r="CB34" s="236"/>
      <c r="CC34" s="236"/>
      <c r="CD34" s="237"/>
      <c r="CF34" s="4" t="s">
        <v>111</v>
      </c>
      <c r="CG34" s="156">
        <v>30000</v>
      </c>
      <c r="CH34" s="156">
        <v>45000</v>
      </c>
      <c r="CI34" s="156">
        <v>35</v>
      </c>
      <c r="CJ34" s="156">
        <v>830</v>
      </c>
      <c r="CK34" s="156">
        <v>250</v>
      </c>
      <c r="CL34" s="156" t="s">
        <v>102</v>
      </c>
      <c r="CM34" s="156">
        <v>750</v>
      </c>
      <c r="CN34" s="156">
        <v>200</v>
      </c>
      <c r="CO34" s="156" t="s">
        <v>103</v>
      </c>
      <c r="CP34" s="156">
        <v>3</v>
      </c>
      <c r="CQ34" s="156">
        <v>12</v>
      </c>
      <c r="CR34" s="4" t="s">
        <v>108</v>
      </c>
      <c r="CS34" s="21">
        <v>30</v>
      </c>
      <c r="CT34" s="156">
        <v>30</v>
      </c>
      <c r="CU34" s="4">
        <v>90</v>
      </c>
      <c r="CV34" s="4">
        <v>90</v>
      </c>
      <c r="CW34" s="4">
        <v>200</v>
      </c>
      <c r="CX34" s="156">
        <f>CS34*1.2</f>
        <v>36</v>
      </c>
    </row>
    <row r="35" spans="1:102" ht="15" customHeight="1" x14ac:dyDescent="0.2">
      <c r="A35" s="11"/>
      <c r="O35" s="26"/>
      <c r="Q35" s="238"/>
      <c r="R35" s="239"/>
      <c r="S35" s="239"/>
      <c r="T35" s="239"/>
      <c r="U35" s="239"/>
      <c r="V35" s="239"/>
      <c r="W35" s="239"/>
      <c r="X35" s="239"/>
      <c r="Y35" s="239"/>
      <c r="Z35" s="239"/>
      <c r="AA35" s="239"/>
      <c r="AB35" s="239"/>
      <c r="AC35" s="239"/>
      <c r="AD35" s="239"/>
      <c r="AE35" s="239"/>
      <c r="AF35" s="239"/>
      <c r="AG35" s="239"/>
      <c r="AH35" s="239"/>
      <c r="AI35" s="239"/>
      <c r="AJ35" s="239"/>
      <c r="AK35" s="239"/>
      <c r="AL35" s="239"/>
      <c r="AM35" s="239"/>
      <c r="AN35" s="239"/>
      <c r="AO35" s="239"/>
      <c r="AP35" s="239"/>
      <c r="AQ35" s="239"/>
      <c r="AR35" s="239"/>
      <c r="AS35" s="239"/>
      <c r="AT35" s="239"/>
      <c r="AU35" s="239"/>
      <c r="AV35" s="239"/>
      <c r="AW35" s="239"/>
      <c r="AX35" s="239"/>
      <c r="AY35" s="239"/>
      <c r="AZ35" s="239"/>
      <c r="BA35" s="239"/>
      <c r="BB35" s="239"/>
      <c r="BC35" s="239"/>
      <c r="BD35" s="239"/>
      <c r="BE35" s="239"/>
      <c r="BF35" s="239"/>
      <c r="BG35" s="239"/>
      <c r="BH35" s="239"/>
      <c r="BI35" s="239"/>
      <c r="BJ35" s="240"/>
      <c r="BL35" s="238"/>
      <c r="BM35" s="239"/>
      <c r="BN35" s="239"/>
      <c r="BO35" s="239"/>
      <c r="BP35" s="239"/>
      <c r="BQ35" s="239"/>
      <c r="BR35" s="239"/>
      <c r="BS35" s="239"/>
      <c r="BT35" s="239"/>
      <c r="BU35" s="239"/>
      <c r="BV35" s="239"/>
      <c r="BW35" s="239"/>
      <c r="BX35" s="239"/>
      <c r="BY35" s="239"/>
      <c r="BZ35" s="239"/>
      <c r="CA35" s="239"/>
      <c r="CB35" s="239"/>
      <c r="CC35" s="239"/>
      <c r="CD35" s="240"/>
      <c r="CE35" s="10"/>
      <c r="CF35" s="4" t="s">
        <v>112</v>
      </c>
      <c r="CG35" s="156">
        <v>50000</v>
      </c>
      <c r="CH35" s="156">
        <v>75000</v>
      </c>
      <c r="CI35" s="156">
        <v>30</v>
      </c>
      <c r="CJ35" s="156">
        <v>850</v>
      </c>
      <c r="CK35" s="156">
        <v>250</v>
      </c>
      <c r="CL35" s="156" t="s">
        <v>113</v>
      </c>
      <c r="CM35" s="156">
        <v>850</v>
      </c>
      <c r="CN35" s="156">
        <v>200</v>
      </c>
      <c r="CO35" s="156" t="s">
        <v>91</v>
      </c>
      <c r="CP35" s="156">
        <v>4</v>
      </c>
      <c r="CQ35" s="156">
        <v>2</v>
      </c>
      <c r="CR35" s="4" t="s">
        <v>114</v>
      </c>
      <c r="CS35" s="21">
        <v>50</v>
      </c>
      <c r="CT35" s="156">
        <v>50</v>
      </c>
      <c r="CU35" s="4">
        <v>105</v>
      </c>
      <c r="CV35" s="4">
        <v>105</v>
      </c>
      <c r="CW35" s="4">
        <v>200</v>
      </c>
      <c r="CX35" s="156">
        <f>CS35*1.1</f>
        <v>55.000000000000007</v>
      </c>
    </row>
    <row r="36" spans="1:102" ht="15" customHeight="1" x14ac:dyDescent="0.2">
      <c r="A36" s="11"/>
      <c r="B36" s="37" t="s">
        <v>115</v>
      </c>
      <c r="C36" s="37"/>
      <c r="D36" s="37"/>
      <c r="E36" s="37"/>
      <c r="F36" s="37"/>
      <c r="G36" s="37"/>
      <c r="H36" s="37"/>
      <c r="I36" s="38"/>
      <c r="J36" s="217">
        <f>IFERROR(VLOOKUP(H30,CG57:CO86,2,FALSE),"")</f>
        <v>440</v>
      </c>
      <c r="K36" s="217"/>
      <c r="L36" s="217"/>
      <c r="M36" s="38"/>
      <c r="N36" s="155" t="s">
        <v>116</v>
      </c>
      <c r="O36" s="26"/>
      <c r="Q36" s="11"/>
      <c r="BJ36" s="26"/>
      <c r="BL36" s="141"/>
      <c r="BM36" s="139"/>
      <c r="BN36" s="139"/>
      <c r="BO36" s="139"/>
      <c r="BP36" s="139"/>
      <c r="BQ36" s="139"/>
      <c r="BR36" s="139"/>
      <c r="BS36" s="139"/>
      <c r="BT36" s="139"/>
      <c r="BU36" s="139"/>
      <c r="BV36" s="139"/>
      <c r="BW36" s="139"/>
      <c r="BX36" s="139"/>
      <c r="BY36" s="139"/>
      <c r="BZ36" s="139"/>
      <c r="CA36" s="139"/>
      <c r="CB36" s="139"/>
      <c r="CC36" s="139"/>
      <c r="CD36" s="147"/>
      <c r="CF36" s="4" t="s">
        <v>11</v>
      </c>
      <c r="CG36" s="156">
        <v>50000</v>
      </c>
      <c r="CH36" s="156">
        <v>75000</v>
      </c>
      <c r="CI36" s="156">
        <v>30</v>
      </c>
      <c r="CJ36" s="156">
        <v>850</v>
      </c>
      <c r="CK36" s="156">
        <v>250</v>
      </c>
      <c r="CL36" s="156" t="s">
        <v>113</v>
      </c>
      <c r="CM36" s="156">
        <v>850</v>
      </c>
      <c r="CN36" s="156">
        <v>200</v>
      </c>
      <c r="CO36" s="156" t="s">
        <v>91</v>
      </c>
      <c r="CP36" s="156">
        <v>4</v>
      </c>
      <c r="CQ36" s="156">
        <v>2</v>
      </c>
      <c r="CR36" s="4" t="s">
        <v>114</v>
      </c>
      <c r="CS36" s="21">
        <v>50</v>
      </c>
      <c r="CT36" s="156">
        <v>50</v>
      </c>
      <c r="CU36" s="4">
        <v>105</v>
      </c>
      <c r="CV36" s="4">
        <v>105</v>
      </c>
      <c r="CW36" s="4">
        <v>200</v>
      </c>
      <c r="CX36" s="156">
        <f>CS36*1.1</f>
        <v>55.000000000000007</v>
      </c>
    </row>
    <row r="37" spans="1:102" ht="15" customHeight="1" thickBot="1" x14ac:dyDescent="0.25">
      <c r="A37" s="11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7"/>
      <c r="O37" s="26"/>
      <c r="Q37" s="11"/>
      <c r="V37" s="308" t="s">
        <v>117</v>
      </c>
      <c r="W37" s="308"/>
      <c r="X37" s="308"/>
      <c r="Y37" s="308"/>
      <c r="Z37" s="308"/>
      <c r="AA37" s="308"/>
      <c r="AB37" s="308"/>
      <c r="AC37" s="308"/>
      <c r="AD37" s="308"/>
      <c r="AE37" s="308"/>
      <c r="AW37" s="218">
        <v>1</v>
      </c>
      <c r="AX37" s="218"/>
      <c r="BD37" s="218">
        <v>16</v>
      </c>
      <c r="BE37" s="218"/>
      <c r="BJ37" s="26"/>
      <c r="BL37" s="141"/>
      <c r="BM37" s="172"/>
      <c r="BN37" s="173"/>
      <c r="BO37" s="174"/>
      <c r="BP37" s="175"/>
      <c r="BQ37" s="172"/>
      <c r="BR37" s="172"/>
      <c r="BS37" s="175"/>
      <c r="BT37" s="175"/>
      <c r="BU37" s="172"/>
      <c r="BV37" s="139" t="s">
        <v>118</v>
      </c>
      <c r="BW37" s="139"/>
      <c r="BX37" s="139"/>
      <c r="BY37" s="139"/>
      <c r="BZ37" s="139"/>
      <c r="CA37" s="317">
        <f>VLOOKUP($H$13,$CG$89:$CM$118,2,FALSE)</f>
        <v>96</v>
      </c>
      <c r="CB37" s="317"/>
      <c r="CC37" s="139"/>
      <c r="CD37" s="147"/>
      <c r="CG37" s="156"/>
      <c r="CH37" s="156"/>
      <c r="CI37" s="156"/>
      <c r="CJ37" s="156"/>
      <c r="CK37" s="156"/>
      <c r="CL37" s="156"/>
      <c r="CM37" s="156"/>
      <c r="CN37" s="156"/>
      <c r="CO37" s="156"/>
      <c r="CP37" s="156"/>
      <c r="CQ37" s="156"/>
      <c r="CS37" s="21"/>
      <c r="CT37" s="156"/>
      <c r="CX37" s="156"/>
    </row>
    <row r="38" spans="1:102" ht="15" customHeight="1" thickBot="1" x14ac:dyDescent="0.25">
      <c r="A38" s="11"/>
      <c r="B38" s="37" t="s">
        <v>119</v>
      </c>
      <c r="C38" s="37"/>
      <c r="D38" s="37"/>
      <c r="E38" s="37"/>
      <c r="F38" s="38"/>
      <c r="G38" s="38"/>
      <c r="H38" s="38"/>
      <c r="I38" s="38"/>
      <c r="J38" s="217">
        <f>IFERROR(VLOOKUP(H30,CG57:CO86,3,FALSE),"")</f>
        <v>30.42</v>
      </c>
      <c r="K38" s="217"/>
      <c r="L38" s="217"/>
      <c r="M38" s="38"/>
      <c r="N38" s="155" t="s">
        <v>28</v>
      </c>
      <c r="O38" s="26"/>
      <c r="Q38" s="11"/>
      <c r="Y38" s="207"/>
      <c r="Z38" s="208"/>
      <c r="AA38" s="208" t="s">
        <v>120</v>
      </c>
      <c r="AB38" s="214"/>
      <c r="AI38" s="218">
        <v>36</v>
      </c>
      <c r="AJ38" s="218"/>
      <c r="AR38" s="201" t="s">
        <v>121</v>
      </c>
      <c r="AS38" s="201"/>
      <c r="AT38" s="202">
        <v>1</v>
      </c>
      <c r="AU38" s="202"/>
      <c r="AV38" s="33"/>
      <c r="AW38" s="219"/>
      <c r="AX38" s="219"/>
      <c r="AY38" s="46"/>
      <c r="AZ38" s="289" t="s">
        <v>122</v>
      </c>
      <c r="BA38" s="290"/>
      <c r="BB38" s="291"/>
      <c r="BC38" s="33"/>
      <c r="BD38" s="219"/>
      <c r="BE38" s="219"/>
      <c r="BF38" s="32"/>
      <c r="BG38" s="289" t="s">
        <v>122</v>
      </c>
      <c r="BH38" s="290"/>
      <c r="BI38" s="291"/>
      <c r="BJ38" s="26"/>
      <c r="BL38" s="141"/>
      <c r="BM38" s="172"/>
      <c r="BN38" s="176">
        <f>MIN(BZ40,CA43,CB44)</f>
        <v>23.04</v>
      </c>
      <c r="BO38" s="176"/>
      <c r="BP38" s="172" t="s">
        <v>123</v>
      </c>
      <c r="BQ38" s="172"/>
      <c r="BR38" s="172"/>
      <c r="BS38" s="176"/>
      <c r="BT38" s="176"/>
      <c r="BU38" s="172"/>
      <c r="BV38" s="139" t="s">
        <v>124</v>
      </c>
      <c r="BX38" s="139"/>
      <c r="BY38" s="139"/>
      <c r="BZ38" s="139"/>
      <c r="CA38" s="139"/>
      <c r="CB38" s="139">
        <f>VLOOKUP($H$13,$CG$89:$CM$118,3,FALSE)</f>
        <v>40</v>
      </c>
      <c r="CC38" s="139"/>
      <c r="CD38" s="147"/>
      <c r="CG38" s="156"/>
      <c r="CH38" s="156"/>
      <c r="CI38" s="156"/>
      <c r="CJ38" s="156"/>
      <c r="CK38" s="156"/>
      <c r="CL38" s="156"/>
      <c r="CM38" s="156"/>
      <c r="CN38" s="156"/>
      <c r="CO38" s="156"/>
      <c r="CP38" s="156"/>
      <c r="CQ38" s="156"/>
      <c r="CS38" s="21"/>
      <c r="CT38" s="156"/>
      <c r="CX38" s="156"/>
    </row>
    <row r="39" spans="1:102" ht="15" customHeight="1" thickBot="1" x14ac:dyDescent="0.25">
      <c r="A39" s="11"/>
      <c r="B39" s="37" t="s">
        <v>125</v>
      </c>
      <c r="C39" s="37"/>
      <c r="D39" s="37"/>
      <c r="E39" s="37"/>
      <c r="F39" s="38"/>
      <c r="G39" s="38"/>
      <c r="H39" s="38"/>
      <c r="I39" s="38"/>
      <c r="J39" s="217">
        <f>IFERROR(VLOOKUP(H30,CG57:CO86,4,FALSE),"")</f>
        <v>14.47</v>
      </c>
      <c r="K39" s="217"/>
      <c r="L39" s="217"/>
      <c r="M39" s="38"/>
      <c r="N39" s="155" t="s">
        <v>70</v>
      </c>
      <c r="O39" s="26"/>
      <c r="Q39" s="11"/>
      <c r="T39" s="171"/>
      <c r="U39" s="171"/>
      <c r="V39" s="171"/>
      <c r="W39" s="171"/>
      <c r="Y39" s="209"/>
      <c r="Z39" s="210"/>
      <c r="AA39" s="210"/>
      <c r="AB39" s="211"/>
      <c r="AC39" s="33"/>
      <c r="AD39" s="33"/>
      <c r="AE39" s="289" t="s">
        <v>122</v>
      </c>
      <c r="AF39" s="290"/>
      <c r="AG39" s="291"/>
      <c r="AH39" s="33"/>
      <c r="AI39" s="219"/>
      <c r="AJ39" s="219"/>
      <c r="AK39" s="32"/>
      <c r="AL39" s="289" t="s">
        <v>122</v>
      </c>
      <c r="AM39" s="290"/>
      <c r="AN39" s="291"/>
      <c r="AQ39" s="44"/>
      <c r="AR39" s="201"/>
      <c r="AS39" s="201"/>
      <c r="AT39" s="202"/>
      <c r="AU39" s="202"/>
      <c r="AW39" s="177"/>
      <c r="AZ39" s="292"/>
      <c r="BA39" s="293"/>
      <c r="BB39" s="294"/>
      <c r="BG39" s="292"/>
      <c r="BH39" s="293"/>
      <c r="BI39" s="294"/>
      <c r="BJ39" s="26"/>
      <c r="BL39" s="141"/>
      <c r="BM39" s="172"/>
      <c r="BN39" s="176">
        <f>MIN(BZ40,CA43,CB47)</f>
        <v>20</v>
      </c>
      <c r="BO39" s="176"/>
      <c r="BP39" s="172" t="s">
        <v>126</v>
      </c>
      <c r="BQ39" s="172"/>
      <c r="BR39" s="172"/>
      <c r="BS39" s="176"/>
      <c r="BT39" s="176"/>
      <c r="BU39" s="172"/>
      <c r="BV39" s="139" t="s">
        <v>127</v>
      </c>
      <c r="BX39" s="139"/>
      <c r="BY39" s="139"/>
      <c r="BZ39" s="139"/>
      <c r="CA39" s="139"/>
      <c r="CB39" s="139">
        <f>IF(OR($G$11="SMILE B3",$G$11="SMILE-i3"),$F$14+1,$F$14)</f>
        <v>6</v>
      </c>
      <c r="CD39" s="147"/>
      <c r="CE39" s="10"/>
      <c r="CF39" s="4" t="s">
        <v>128</v>
      </c>
      <c r="CG39" s="156">
        <v>4600</v>
      </c>
      <c r="CH39" s="156">
        <v>6600</v>
      </c>
      <c r="CI39" s="156">
        <v>12</v>
      </c>
      <c r="CJ39" s="156">
        <v>580</v>
      </c>
      <c r="CK39" s="156">
        <v>125</v>
      </c>
      <c r="CL39" s="156" t="s">
        <v>129</v>
      </c>
      <c r="CM39" s="156">
        <v>550</v>
      </c>
      <c r="CN39" s="156">
        <v>125</v>
      </c>
      <c r="CO39" s="156" t="s">
        <v>130</v>
      </c>
      <c r="CP39" s="156">
        <v>2</v>
      </c>
      <c r="CQ39" s="156">
        <v>6</v>
      </c>
      <c r="CR39" s="4" t="s">
        <v>131</v>
      </c>
      <c r="CS39" s="156">
        <v>4.5999999999999996</v>
      </c>
      <c r="CT39" s="156">
        <v>5</v>
      </c>
      <c r="CU39" s="4">
        <v>100</v>
      </c>
      <c r="CV39" s="4">
        <v>1000</v>
      </c>
      <c r="CW39" s="4">
        <v>0</v>
      </c>
      <c r="CX39" s="156">
        <f>CT39*1.5</f>
        <v>7.5</v>
      </c>
    </row>
    <row r="40" spans="1:102" ht="15" customHeight="1" thickBot="1" x14ac:dyDescent="0.25">
      <c r="A40" s="11"/>
      <c r="B40" s="37" t="s">
        <v>132</v>
      </c>
      <c r="C40" s="37"/>
      <c r="D40" s="37"/>
      <c r="E40" s="37"/>
      <c r="F40" s="37"/>
      <c r="G40" s="37"/>
      <c r="H40" s="37"/>
      <c r="I40" s="38"/>
      <c r="J40" s="217">
        <f>IFERROR(VLOOKUP(H30,CG57:CO86,5,FALSE),"")</f>
        <v>36.24</v>
      </c>
      <c r="K40" s="217"/>
      <c r="L40" s="217"/>
      <c r="M40" s="38"/>
      <c r="N40" s="155" t="s">
        <v>28</v>
      </c>
      <c r="O40" s="26"/>
      <c r="Q40" s="11"/>
      <c r="S40" s="171"/>
      <c r="T40" s="171"/>
      <c r="U40" s="171"/>
      <c r="V40" s="171"/>
      <c r="W40" s="171"/>
      <c r="Y40" s="209" t="s">
        <v>133</v>
      </c>
      <c r="Z40" s="210"/>
      <c r="AA40" s="210"/>
      <c r="AB40" s="211"/>
      <c r="AE40" s="292"/>
      <c r="AF40" s="293"/>
      <c r="AG40" s="294"/>
      <c r="AL40" s="292"/>
      <c r="AM40" s="293"/>
      <c r="AN40" s="294"/>
      <c r="AQ40" s="35"/>
      <c r="AR40" s="168" t="s">
        <v>134</v>
      </c>
      <c r="AS40" s="169"/>
      <c r="AT40" s="196" t="s">
        <v>135</v>
      </c>
      <c r="AU40" s="197"/>
      <c r="AW40" s="177"/>
      <c r="BD40" s="192" t="str">
        <f>IF(AW37&lt;2,"",BD37)</f>
        <v/>
      </c>
      <c r="BE40" s="192"/>
      <c r="BJ40" s="26"/>
      <c r="BL40" s="141"/>
      <c r="BM40" s="172"/>
      <c r="BN40" s="176">
        <f>MIN(BZ40,CA43,CB48)</f>
        <v>23.04</v>
      </c>
      <c r="BO40" s="176"/>
      <c r="BP40" s="172" t="s">
        <v>136</v>
      </c>
      <c r="BQ40" s="172"/>
      <c r="BR40" s="172"/>
      <c r="BS40" s="172"/>
      <c r="BT40" s="172"/>
      <c r="BU40" s="172"/>
      <c r="BV40" s="4" t="s">
        <v>137</v>
      </c>
      <c r="BZ40" s="319">
        <f>CB39*CA37*CB38/1000</f>
        <v>23.04</v>
      </c>
      <c r="CA40" s="319"/>
      <c r="CB40" s="319"/>
      <c r="CC40" s="139"/>
      <c r="CD40" s="147"/>
      <c r="CF40" s="4" t="s">
        <v>138</v>
      </c>
      <c r="CG40" s="156">
        <v>4600</v>
      </c>
      <c r="CH40" s="156">
        <v>7500</v>
      </c>
      <c r="CI40" s="156">
        <v>15</v>
      </c>
      <c r="CJ40" s="156">
        <v>580</v>
      </c>
      <c r="CK40" s="156">
        <v>100</v>
      </c>
      <c r="CL40" s="156" t="s">
        <v>64</v>
      </c>
      <c r="CM40" s="156">
        <v>550</v>
      </c>
      <c r="CN40" s="156">
        <v>100</v>
      </c>
      <c r="CO40" s="156" t="s">
        <v>65</v>
      </c>
      <c r="CP40" s="156">
        <v>2</v>
      </c>
      <c r="CQ40" s="156">
        <v>6</v>
      </c>
      <c r="CR40" s="4" t="s">
        <v>139</v>
      </c>
      <c r="CS40" s="156">
        <v>4.5999999999999996</v>
      </c>
      <c r="CT40" s="156">
        <v>5</v>
      </c>
      <c r="CU40" s="4">
        <v>40</v>
      </c>
      <c r="CV40" s="4">
        <v>40</v>
      </c>
      <c r="CW40" s="4">
        <v>150</v>
      </c>
      <c r="CX40" s="156">
        <f>CT40</f>
        <v>5</v>
      </c>
    </row>
    <row r="41" spans="1:102" ht="15" customHeight="1" thickBot="1" x14ac:dyDescent="0.25">
      <c r="A41" s="11"/>
      <c r="B41" s="37" t="s">
        <v>140</v>
      </c>
      <c r="C41" s="37"/>
      <c r="D41" s="37"/>
      <c r="E41" s="37"/>
      <c r="F41" s="37"/>
      <c r="G41" s="37"/>
      <c r="H41" s="37"/>
      <c r="I41" s="38"/>
      <c r="J41" s="217">
        <f>IFERROR(VLOOKUP(H30,CG57:CO86,6,FALSE),"")</f>
        <v>15.17</v>
      </c>
      <c r="K41" s="217"/>
      <c r="L41" s="217"/>
      <c r="M41" s="38"/>
      <c r="N41" s="155" t="s">
        <v>70</v>
      </c>
      <c r="O41" s="26"/>
      <c r="Q41" s="11"/>
      <c r="Y41" s="215"/>
      <c r="Z41" s="212"/>
      <c r="AA41" s="212"/>
      <c r="AB41" s="213"/>
      <c r="AQ41" s="35"/>
      <c r="AR41" s="183" t="s">
        <v>141</v>
      </c>
      <c r="AS41" s="182"/>
      <c r="AT41" s="184"/>
      <c r="AU41" s="184">
        <f>IF(AND($AY$13&lt;&gt;"AC",$K$22&gt;=1,AT40="ja"),1,0)</f>
        <v>1</v>
      </c>
      <c r="AW41" s="177"/>
      <c r="AX41" s="157"/>
      <c r="AY41" s="46"/>
      <c r="AZ41" s="289" t="s">
        <v>122</v>
      </c>
      <c r="BA41" s="290"/>
      <c r="BB41" s="291"/>
      <c r="BC41" s="33"/>
      <c r="BD41" s="193"/>
      <c r="BE41" s="193"/>
      <c r="BF41" s="32"/>
      <c r="BG41" s="289" t="s">
        <v>122</v>
      </c>
      <c r="BH41" s="290"/>
      <c r="BI41" s="291"/>
      <c r="BJ41" s="26"/>
      <c r="BL41" s="141"/>
      <c r="BM41" s="172"/>
      <c r="BN41" s="172"/>
      <c r="BO41" s="172"/>
      <c r="BP41" s="172"/>
      <c r="BQ41" s="172"/>
      <c r="BR41" s="172"/>
      <c r="BS41" s="172"/>
      <c r="BT41" s="172"/>
      <c r="BU41" s="172"/>
      <c r="BV41" s="139" t="s">
        <v>142</v>
      </c>
      <c r="BX41" s="139"/>
      <c r="BY41" s="139"/>
      <c r="BZ41" s="139"/>
      <c r="CA41" s="318">
        <f>VLOOKUP($G$11,$CF$21:$CV$49,16,FALSE)</f>
        <v>60</v>
      </c>
      <c r="CB41" s="318"/>
      <c r="CC41" s="139"/>
      <c r="CD41" s="147"/>
      <c r="CF41" s="4" t="s">
        <v>143</v>
      </c>
      <c r="CG41" s="156">
        <v>10000</v>
      </c>
      <c r="CH41" s="156">
        <v>16000</v>
      </c>
      <c r="CI41" s="156">
        <v>26</v>
      </c>
      <c r="CJ41" s="156">
        <v>1000</v>
      </c>
      <c r="CK41" s="156">
        <v>200</v>
      </c>
      <c r="CL41" s="156" t="s">
        <v>90</v>
      </c>
      <c r="CM41" s="156">
        <v>850</v>
      </c>
      <c r="CN41" s="156">
        <v>200</v>
      </c>
      <c r="CO41" s="156" t="s">
        <v>91</v>
      </c>
      <c r="CP41" s="156">
        <v>2</v>
      </c>
      <c r="CQ41" s="156">
        <v>6</v>
      </c>
      <c r="CR41" s="4" t="s">
        <v>144</v>
      </c>
      <c r="CS41" s="156">
        <v>10</v>
      </c>
      <c r="CT41" s="156">
        <v>10</v>
      </c>
      <c r="CU41" s="4">
        <v>40</v>
      </c>
      <c r="CV41" s="4">
        <v>40</v>
      </c>
      <c r="CW41" s="4">
        <v>250</v>
      </c>
      <c r="CX41" s="156">
        <f t="shared" ref="CX41:CX49" si="5">CT41</f>
        <v>10</v>
      </c>
    </row>
    <row r="42" spans="1:102" ht="15" customHeight="1" thickBot="1" x14ac:dyDescent="0.25">
      <c r="A42" s="11"/>
      <c r="B42" s="37"/>
      <c r="C42" s="37"/>
      <c r="D42" s="37"/>
      <c r="E42" s="37"/>
      <c r="F42" s="37"/>
      <c r="G42" s="37"/>
      <c r="H42" s="37"/>
      <c r="I42" s="38"/>
      <c r="J42" s="37"/>
      <c r="K42" s="37"/>
      <c r="L42" s="37"/>
      <c r="M42" s="38"/>
      <c r="N42" s="37"/>
      <c r="O42" s="26"/>
      <c r="Q42" s="65"/>
      <c r="R42" s="38"/>
      <c r="S42" s="38"/>
      <c r="T42" s="38"/>
      <c r="U42" s="38"/>
      <c r="V42" s="38"/>
      <c r="W42" s="38"/>
      <c r="X42" s="38"/>
      <c r="Y42" s="38"/>
      <c r="Z42" s="68"/>
      <c r="AA42" s="38"/>
      <c r="AB42" s="38"/>
      <c r="AC42" s="38"/>
      <c r="AD42" s="182" t="s">
        <v>141</v>
      </c>
      <c r="AE42" s="182"/>
      <c r="AF42" s="182"/>
      <c r="AG42" s="182">
        <f>IF(AY13&lt;&gt;"DC",1,0)</f>
        <v>1</v>
      </c>
      <c r="AH42" s="310"/>
      <c r="AI42" s="310"/>
      <c r="AJ42" s="310"/>
      <c r="AK42" s="310"/>
      <c r="AL42" s="38"/>
      <c r="AM42" s="38"/>
      <c r="AN42" s="38"/>
      <c r="AO42" s="38"/>
      <c r="AP42" s="38"/>
      <c r="AQ42" s="162"/>
      <c r="AZ42" s="292"/>
      <c r="BA42" s="293"/>
      <c r="BB42" s="294"/>
      <c r="BG42" s="292"/>
      <c r="BH42" s="293"/>
      <c r="BI42" s="294"/>
      <c r="BJ42" s="67"/>
      <c r="BK42" s="38"/>
      <c r="BL42" s="142"/>
      <c r="BM42" s="172"/>
      <c r="BN42" s="220">
        <f>BN38</f>
        <v>23.04</v>
      </c>
      <c r="BO42" s="220"/>
      <c r="BP42" s="220"/>
      <c r="BQ42" s="220"/>
      <c r="BR42" s="220">
        <f>BO38</f>
        <v>0</v>
      </c>
      <c r="BS42" s="220"/>
      <c r="BT42" s="220"/>
      <c r="BU42" s="220"/>
      <c r="BV42" s="4" t="s">
        <v>145</v>
      </c>
      <c r="BX42" s="139"/>
      <c r="BY42" s="139"/>
      <c r="BZ42" s="139"/>
      <c r="CA42" s="320">
        <f>CL16</f>
        <v>576</v>
      </c>
      <c r="CB42" s="320"/>
      <c r="CC42" s="139"/>
      <c r="CD42" s="148"/>
      <c r="CE42" s="10"/>
      <c r="CF42" s="4" t="s">
        <v>146</v>
      </c>
      <c r="CG42" s="156">
        <v>4600</v>
      </c>
      <c r="CH42" s="156">
        <v>6600</v>
      </c>
      <c r="CI42" s="156">
        <v>15</v>
      </c>
      <c r="CJ42" s="156">
        <v>580</v>
      </c>
      <c r="CK42" s="156">
        <v>125</v>
      </c>
      <c r="CL42" s="156" t="s">
        <v>129</v>
      </c>
      <c r="CM42" s="156">
        <v>550</v>
      </c>
      <c r="CN42" s="156">
        <v>125</v>
      </c>
      <c r="CO42" s="156" t="s">
        <v>130</v>
      </c>
      <c r="CP42" s="156">
        <v>2</v>
      </c>
      <c r="CQ42" s="156">
        <v>4</v>
      </c>
      <c r="CR42" s="4" t="s">
        <v>147</v>
      </c>
      <c r="CS42" s="156">
        <v>4.5999999999999996</v>
      </c>
      <c r="CT42" s="156">
        <v>5</v>
      </c>
      <c r="CU42" s="4">
        <v>50</v>
      </c>
      <c r="CV42" s="4">
        <v>1000</v>
      </c>
      <c r="CW42" s="4">
        <v>0</v>
      </c>
      <c r="CX42" s="156">
        <f t="shared" si="5"/>
        <v>5</v>
      </c>
    </row>
    <row r="43" spans="1:102" s="38" customFormat="1" ht="15" customHeight="1" thickBot="1" x14ac:dyDescent="0.25">
      <c r="A43" s="65"/>
      <c r="B43" s="66" t="s">
        <v>148</v>
      </c>
      <c r="C43" s="37"/>
      <c r="D43" s="37"/>
      <c r="E43" s="37"/>
      <c r="F43" s="37"/>
      <c r="G43" s="37"/>
      <c r="H43" s="37"/>
      <c r="J43" s="37"/>
      <c r="K43" s="37"/>
      <c r="L43" s="37"/>
      <c r="N43" s="37"/>
      <c r="O43" s="67"/>
      <c r="Q43" s="11"/>
      <c r="R43" s="4"/>
      <c r="S43" s="4"/>
      <c r="T43" s="4"/>
      <c r="U43" s="4"/>
      <c r="V43" s="4"/>
      <c r="W43" s="4"/>
      <c r="X43" s="4"/>
      <c r="Z43" s="4"/>
      <c r="AA43" s="35"/>
      <c r="AD43" s="4"/>
      <c r="AE43" s="4"/>
      <c r="AF43" s="4"/>
      <c r="AG43" s="4"/>
      <c r="AL43" s="4"/>
      <c r="AM43" s="4"/>
      <c r="AN43" s="4"/>
      <c r="AO43" s="4"/>
      <c r="AP43" s="4"/>
      <c r="AQ43" s="35"/>
      <c r="AR43" s="4"/>
      <c r="AS43" s="4"/>
      <c r="AT43" s="4"/>
      <c r="AU43" s="4"/>
      <c r="AW43" s="218">
        <v>1</v>
      </c>
      <c r="AX43" s="218"/>
      <c r="AY43" s="4"/>
      <c r="AZ43" s="4"/>
      <c r="BA43" s="4"/>
      <c r="BB43" s="4"/>
      <c r="BC43" s="4"/>
      <c r="BD43" s="218">
        <v>21</v>
      </c>
      <c r="BE43" s="218"/>
      <c r="BF43" s="4"/>
      <c r="BG43" s="4"/>
      <c r="BH43" s="4"/>
      <c r="BI43" s="4"/>
      <c r="BJ43" s="26"/>
      <c r="BK43" s="4"/>
      <c r="BL43" s="141"/>
      <c r="BM43" s="172"/>
      <c r="BN43" s="220">
        <f>BN39</f>
        <v>20</v>
      </c>
      <c r="BO43" s="220"/>
      <c r="BP43" s="220"/>
      <c r="BQ43" s="220"/>
      <c r="BR43" s="220">
        <f>BO39</f>
        <v>0</v>
      </c>
      <c r="BS43" s="220"/>
      <c r="BT43" s="220"/>
      <c r="BU43" s="220"/>
      <c r="BV43" s="38" t="s">
        <v>149</v>
      </c>
      <c r="BW43" s="4"/>
      <c r="BX43" s="4"/>
      <c r="BY43" s="139"/>
      <c r="BZ43" s="139"/>
      <c r="CA43" s="321">
        <f>CA42*CA41/1000</f>
        <v>34.56</v>
      </c>
      <c r="CB43" s="321"/>
      <c r="CC43" s="139"/>
      <c r="CD43" s="147"/>
      <c r="CF43" s="4" t="s">
        <v>150</v>
      </c>
      <c r="CG43" s="156">
        <v>5000</v>
      </c>
      <c r="CH43" s="156">
        <v>7500</v>
      </c>
      <c r="CI43" s="156">
        <v>15</v>
      </c>
      <c r="CJ43" s="156">
        <v>800</v>
      </c>
      <c r="CK43" s="156">
        <v>300</v>
      </c>
      <c r="CL43" s="156" t="s">
        <v>151</v>
      </c>
      <c r="CM43" s="156">
        <v>700</v>
      </c>
      <c r="CN43" s="156">
        <v>280</v>
      </c>
      <c r="CO43" s="156" t="s">
        <v>152</v>
      </c>
      <c r="CP43" s="156">
        <v>1</v>
      </c>
      <c r="CQ43" s="156">
        <v>4</v>
      </c>
      <c r="CR43" s="4" t="s">
        <v>153</v>
      </c>
      <c r="CS43" s="156">
        <v>5</v>
      </c>
      <c r="CT43" s="156">
        <v>5</v>
      </c>
      <c r="CU43" s="4">
        <v>18</v>
      </c>
      <c r="CV43" s="4">
        <v>18</v>
      </c>
      <c r="CW43" s="4">
        <v>0</v>
      </c>
      <c r="CX43" s="156">
        <f t="shared" si="5"/>
        <v>5</v>
      </c>
    </row>
    <row r="44" spans="1:102" ht="15" customHeight="1" thickBot="1" x14ac:dyDescent="0.25">
      <c r="A44" s="11"/>
      <c r="B44" s="37"/>
      <c r="C44" s="37"/>
      <c r="D44" s="37"/>
      <c r="E44" s="37"/>
      <c r="F44" s="37"/>
      <c r="G44" s="37"/>
      <c r="H44" s="37"/>
      <c r="I44" s="38"/>
      <c r="J44" s="37"/>
      <c r="K44" s="37"/>
      <c r="L44" s="37"/>
      <c r="M44" s="38"/>
      <c r="N44" s="37"/>
      <c r="O44" s="26"/>
      <c r="Q44" s="11"/>
      <c r="W44" s="49"/>
      <c r="X44" s="49"/>
      <c r="Y44" s="295" t="s">
        <v>154</v>
      </c>
      <c r="Z44" s="296"/>
      <c r="AA44" s="296"/>
      <c r="AB44" s="297"/>
      <c r="AC44" s="38"/>
      <c r="AH44" s="281"/>
      <c r="AI44" s="281"/>
      <c r="AJ44" s="282"/>
      <c r="AK44" s="282"/>
      <c r="AQ44" s="34"/>
      <c r="AR44" s="201" t="s">
        <v>121</v>
      </c>
      <c r="AS44" s="201"/>
      <c r="AT44" s="202">
        <v>2</v>
      </c>
      <c r="AU44" s="202"/>
      <c r="AV44" s="33"/>
      <c r="AW44" s="219"/>
      <c r="AX44" s="219"/>
      <c r="AY44" s="46"/>
      <c r="AZ44" s="289" t="s">
        <v>122</v>
      </c>
      <c r="BA44" s="290"/>
      <c r="BB44" s="291"/>
      <c r="BC44" s="33"/>
      <c r="BD44" s="219"/>
      <c r="BE44" s="219"/>
      <c r="BF44" s="32"/>
      <c r="BG44" s="289" t="s">
        <v>122</v>
      </c>
      <c r="BH44" s="290"/>
      <c r="BI44" s="291"/>
      <c r="BJ44" s="26"/>
      <c r="BL44" s="141"/>
      <c r="BM44" s="139"/>
      <c r="BN44" s="139"/>
      <c r="BO44" s="139"/>
      <c r="BP44" s="139"/>
      <c r="BQ44" s="139"/>
      <c r="BR44" s="139"/>
      <c r="BS44" s="139"/>
      <c r="BT44" s="139"/>
      <c r="BU44" s="139"/>
      <c r="BV44" s="4" t="s">
        <v>155</v>
      </c>
      <c r="CB44" s="4">
        <f>K19/1000</f>
        <v>40</v>
      </c>
      <c r="CC44" s="139"/>
      <c r="CD44" s="147"/>
      <c r="CF44" s="4" t="s">
        <v>156</v>
      </c>
      <c r="CG44" s="156">
        <v>5000</v>
      </c>
      <c r="CH44" s="156">
        <v>10000</v>
      </c>
      <c r="CI44" s="156">
        <v>10</v>
      </c>
      <c r="CJ44" s="156">
        <v>900</v>
      </c>
      <c r="CK44" s="156">
        <v>250</v>
      </c>
      <c r="CL44" s="156" t="s">
        <v>157</v>
      </c>
      <c r="CM44" s="156">
        <v>800</v>
      </c>
      <c r="CN44" s="156">
        <v>250</v>
      </c>
      <c r="CO44" s="156" t="s">
        <v>158</v>
      </c>
      <c r="CP44" s="156">
        <v>2</v>
      </c>
      <c r="CQ44" s="156">
        <v>4</v>
      </c>
      <c r="CR44" s="4" t="s">
        <v>159</v>
      </c>
      <c r="CS44" s="156">
        <v>5</v>
      </c>
      <c r="CT44" s="156">
        <v>5</v>
      </c>
      <c r="CU44" s="9">
        <v>100</v>
      </c>
      <c r="CV44" s="4">
        <v>1000</v>
      </c>
      <c r="CW44" s="4">
        <v>48</v>
      </c>
      <c r="CX44" s="156">
        <f t="shared" si="5"/>
        <v>5</v>
      </c>
    </row>
    <row r="45" spans="1:102" ht="15" customHeight="1" thickBot="1" x14ac:dyDescent="0.25">
      <c r="A45" s="11"/>
      <c r="B45" s="37" t="s">
        <v>160</v>
      </c>
      <c r="C45" s="37"/>
      <c r="D45" s="37"/>
      <c r="E45" s="37"/>
      <c r="F45" s="37"/>
      <c r="G45" s="37"/>
      <c r="H45" s="37"/>
      <c r="I45" s="38"/>
      <c r="J45" s="217">
        <f>IFERROR(VLOOKUP(H30,CG57:CO86,7,FALSE),"")</f>
        <v>-0.24</v>
      </c>
      <c r="K45" s="217"/>
      <c r="L45" s="217"/>
      <c r="M45" s="38"/>
      <c r="N45" s="155" t="s">
        <v>161</v>
      </c>
      <c r="O45" s="26"/>
      <c r="Q45" s="11"/>
      <c r="R45" s="309" t="s">
        <v>162</v>
      </c>
      <c r="W45" s="161"/>
      <c r="Y45" s="298"/>
      <c r="Z45" s="299"/>
      <c r="AA45" s="299"/>
      <c r="AB45" s="300"/>
      <c r="AH45" s="281"/>
      <c r="AI45" s="281"/>
      <c r="AJ45" s="282"/>
      <c r="AK45" s="282"/>
      <c r="AQ45" s="35"/>
      <c r="AR45" s="201"/>
      <c r="AS45" s="201"/>
      <c r="AT45" s="202"/>
      <c r="AU45" s="202"/>
      <c r="AW45" s="177"/>
      <c r="AZ45" s="292"/>
      <c r="BA45" s="293"/>
      <c r="BB45" s="294"/>
      <c r="BG45" s="292"/>
      <c r="BH45" s="293"/>
      <c r="BI45" s="294"/>
      <c r="BJ45" s="26"/>
      <c r="BL45" s="141"/>
      <c r="BM45" s="139"/>
      <c r="BN45" s="139"/>
      <c r="BO45" s="139"/>
      <c r="BP45" s="139"/>
      <c r="BQ45" s="139"/>
      <c r="BR45" s="139"/>
      <c r="BS45" s="139"/>
      <c r="BT45" s="139"/>
      <c r="BU45" s="139"/>
      <c r="CC45" s="139"/>
      <c r="CD45" s="147"/>
      <c r="CF45" s="4" t="s">
        <v>163</v>
      </c>
      <c r="CG45" s="156">
        <v>3000</v>
      </c>
      <c r="CH45" s="156">
        <v>0</v>
      </c>
      <c r="CI45" s="156">
        <v>0</v>
      </c>
      <c r="CJ45" s="156">
        <v>0</v>
      </c>
      <c r="CK45" s="156">
        <v>0</v>
      </c>
      <c r="CL45" s="156">
        <v>0</v>
      </c>
      <c r="CM45" s="156">
        <v>0</v>
      </c>
      <c r="CN45" s="156">
        <v>0</v>
      </c>
      <c r="CO45" s="156">
        <v>0</v>
      </c>
      <c r="CP45" s="156">
        <v>0</v>
      </c>
      <c r="CQ45" s="156">
        <v>5</v>
      </c>
      <c r="CR45" s="4" t="s">
        <v>164</v>
      </c>
      <c r="CS45" s="21">
        <v>3</v>
      </c>
      <c r="CT45" s="156">
        <v>3</v>
      </c>
      <c r="CU45" s="4">
        <v>60</v>
      </c>
      <c r="CV45" s="4">
        <v>60</v>
      </c>
      <c r="CW45" s="4">
        <v>0</v>
      </c>
      <c r="CX45" s="156">
        <f t="shared" si="5"/>
        <v>3</v>
      </c>
    </row>
    <row r="46" spans="1:102" ht="15" customHeight="1" thickBot="1" x14ac:dyDescent="0.25">
      <c r="A46" s="11"/>
      <c r="B46" s="37" t="s">
        <v>132</v>
      </c>
      <c r="C46" s="38"/>
      <c r="D46" s="38"/>
      <c r="E46" s="38"/>
      <c r="F46" s="38"/>
      <c r="G46" s="38"/>
      <c r="H46" s="38"/>
      <c r="I46" s="38"/>
      <c r="J46" s="217">
        <f>IFERROR(VLOOKUP(H30,CG57:CO86,8,FALSE),"")</f>
        <v>-0.24</v>
      </c>
      <c r="K46" s="217"/>
      <c r="L46" s="217"/>
      <c r="M46" s="38"/>
      <c r="N46" s="155" t="s">
        <v>161</v>
      </c>
      <c r="O46" s="26"/>
      <c r="Q46" s="11"/>
      <c r="R46" s="309"/>
      <c r="V46" s="48"/>
      <c r="W46" s="161"/>
      <c r="Z46" s="47"/>
      <c r="AH46" s="283" t="s">
        <v>165</v>
      </c>
      <c r="AI46" s="284"/>
      <c r="AJ46" s="284"/>
      <c r="AK46" s="285"/>
      <c r="AQ46" s="35"/>
      <c r="AR46" s="170" t="s">
        <v>134</v>
      </c>
      <c r="AS46" s="28"/>
      <c r="AT46" s="301" t="s">
        <v>135</v>
      </c>
      <c r="AU46" s="302"/>
      <c r="AW46" s="177"/>
      <c r="BD46" s="192" t="str">
        <f>IF(AW43&lt;2,"",BD43)</f>
        <v/>
      </c>
      <c r="BE46" s="192"/>
      <c r="BJ46" s="26"/>
      <c r="BL46" s="141"/>
      <c r="BM46" s="139"/>
      <c r="BN46" s="139"/>
      <c r="BO46" s="139"/>
      <c r="BP46" s="139"/>
      <c r="BQ46" s="139"/>
      <c r="BR46" s="139"/>
      <c r="BS46" s="139"/>
      <c r="BT46" s="139"/>
      <c r="BU46" s="139"/>
      <c r="BW46" s="139"/>
      <c r="BX46" s="139"/>
      <c r="BY46" s="139"/>
      <c r="BZ46" s="139"/>
      <c r="CA46" s="139"/>
      <c r="CB46" s="139"/>
      <c r="CC46" s="139"/>
      <c r="CD46" s="147"/>
      <c r="CF46" s="4" t="s">
        <v>166</v>
      </c>
      <c r="CG46" s="156">
        <v>10000</v>
      </c>
      <c r="CH46" s="156">
        <v>13000</v>
      </c>
      <c r="CI46" s="156">
        <v>12.5</v>
      </c>
      <c r="CJ46" s="156">
        <v>1000</v>
      </c>
      <c r="CK46" s="156">
        <v>180</v>
      </c>
      <c r="CL46" s="156" t="s">
        <v>167</v>
      </c>
      <c r="CM46" s="156">
        <v>850</v>
      </c>
      <c r="CN46" s="156">
        <v>200</v>
      </c>
      <c r="CO46" s="156" t="s">
        <v>91</v>
      </c>
      <c r="CP46" s="156">
        <v>2</v>
      </c>
      <c r="CQ46" s="156">
        <v>8</v>
      </c>
      <c r="CR46" s="4" t="s">
        <v>168</v>
      </c>
      <c r="CS46" s="21">
        <v>10</v>
      </c>
      <c r="CT46" s="156">
        <v>10</v>
      </c>
      <c r="CU46" s="4">
        <v>25</v>
      </c>
      <c r="CV46" s="4">
        <v>25</v>
      </c>
      <c r="CW46" s="4">
        <v>180</v>
      </c>
      <c r="CX46" s="156">
        <f>CS46*1.65</f>
        <v>16.5</v>
      </c>
    </row>
    <row r="47" spans="1:102" ht="15" customHeight="1" thickBot="1" x14ac:dyDescent="0.25">
      <c r="A47" s="11"/>
      <c r="B47" s="37" t="s">
        <v>140</v>
      </c>
      <c r="C47" s="37"/>
      <c r="D47" s="37"/>
      <c r="E47" s="37"/>
      <c r="F47" s="37"/>
      <c r="G47" s="37"/>
      <c r="H47" s="37"/>
      <c r="I47" s="38"/>
      <c r="J47" s="217">
        <f>IFERROR(VLOOKUP(H30,CG57:CO86,9,FALSE),"")</f>
        <v>0.04</v>
      </c>
      <c r="K47" s="217"/>
      <c r="L47" s="217"/>
      <c r="M47" s="38"/>
      <c r="N47" s="155" t="s">
        <v>161</v>
      </c>
      <c r="O47" s="26"/>
      <c r="Q47" s="11"/>
      <c r="R47" s="309"/>
      <c r="S47" s="33"/>
      <c r="T47" s="33"/>
      <c r="U47" s="295" t="s">
        <v>169</v>
      </c>
      <c r="V47" s="296"/>
      <c r="W47" s="296"/>
      <c r="X47" s="297"/>
      <c r="Y47" s="33"/>
      <c r="Z47" s="46"/>
      <c r="AA47" s="33"/>
      <c r="AB47" s="33"/>
      <c r="AC47" s="33"/>
      <c r="AD47" s="33"/>
      <c r="AE47" s="33"/>
      <c r="AF47" s="33"/>
      <c r="AG47" s="46"/>
      <c r="AH47" s="283"/>
      <c r="AI47" s="284"/>
      <c r="AJ47" s="284"/>
      <c r="AK47" s="285"/>
      <c r="AQ47" s="35"/>
      <c r="AR47" s="183" t="s">
        <v>141</v>
      </c>
      <c r="AS47" s="182"/>
      <c r="AT47" s="184"/>
      <c r="AU47" s="184">
        <f>IF(AND($AY$13&lt;&gt;"AC",$K$22&gt;=2,AT46="ja"),1,0)</f>
        <v>1</v>
      </c>
      <c r="AW47" s="177"/>
      <c r="AX47" s="157"/>
      <c r="AY47" s="46"/>
      <c r="AZ47" s="289" t="s">
        <v>122</v>
      </c>
      <c r="BA47" s="290"/>
      <c r="BB47" s="291"/>
      <c r="BC47" s="33"/>
      <c r="BD47" s="193"/>
      <c r="BE47" s="193"/>
      <c r="BF47" s="32"/>
      <c r="BG47" s="289" t="s">
        <v>122</v>
      </c>
      <c r="BH47" s="290"/>
      <c r="BI47" s="291"/>
      <c r="BJ47" s="26"/>
      <c r="BL47" s="141"/>
      <c r="BM47" s="139"/>
      <c r="BN47" s="139"/>
      <c r="BO47" s="139"/>
      <c r="BP47" s="139"/>
      <c r="BQ47" s="139"/>
      <c r="BR47" s="139"/>
      <c r="BS47" s="139"/>
      <c r="BT47" s="139"/>
      <c r="BU47" s="139"/>
      <c r="BV47" s="139" t="s">
        <v>170</v>
      </c>
      <c r="BX47" s="139"/>
      <c r="BY47" s="139"/>
      <c r="BZ47" s="139"/>
      <c r="CA47" s="139"/>
      <c r="CB47" s="4">
        <f>VLOOKUP($G$11,$CF$21:$CX$49,14,FALSE)</f>
        <v>20</v>
      </c>
      <c r="CC47" s="139"/>
      <c r="CD47" s="147"/>
      <c r="CF47" s="4" t="s">
        <v>171</v>
      </c>
      <c r="CG47" s="156">
        <v>30000</v>
      </c>
      <c r="CH47" s="156">
        <v>0</v>
      </c>
      <c r="CI47" s="156">
        <v>0</v>
      </c>
      <c r="CJ47" s="156">
        <v>0</v>
      </c>
      <c r="CK47" s="156">
        <v>0</v>
      </c>
      <c r="CL47" s="156">
        <v>0</v>
      </c>
      <c r="CM47" s="156">
        <v>0</v>
      </c>
      <c r="CN47" s="156">
        <v>0</v>
      </c>
      <c r="CO47" s="156">
        <v>0</v>
      </c>
      <c r="CP47" s="156">
        <v>0</v>
      </c>
      <c r="CQ47" s="156">
        <v>12</v>
      </c>
      <c r="CR47" s="4" t="s">
        <v>172</v>
      </c>
      <c r="CS47" s="21">
        <v>30</v>
      </c>
      <c r="CT47" s="156">
        <v>30</v>
      </c>
      <c r="CU47" s="4">
        <v>90</v>
      </c>
      <c r="CV47" s="4">
        <v>90</v>
      </c>
      <c r="CW47" s="4">
        <v>205</v>
      </c>
      <c r="CX47" s="156">
        <f t="shared" si="5"/>
        <v>30</v>
      </c>
    </row>
    <row r="48" spans="1:102" ht="15" customHeight="1" thickBot="1" x14ac:dyDescent="0.25">
      <c r="A48" s="31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8"/>
      <c r="Q48" s="11"/>
      <c r="R48" s="309"/>
      <c r="U48" s="298"/>
      <c r="V48" s="299"/>
      <c r="W48" s="299"/>
      <c r="X48" s="300"/>
      <c r="Z48" s="45"/>
      <c r="AA48" s="44"/>
      <c r="AH48" s="286"/>
      <c r="AI48" s="287"/>
      <c r="AJ48" s="287"/>
      <c r="AK48" s="288"/>
      <c r="AQ48" s="35"/>
      <c r="AZ48" s="292"/>
      <c r="BA48" s="293"/>
      <c r="BB48" s="294"/>
      <c r="BG48" s="292"/>
      <c r="BH48" s="293"/>
      <c r="BI48" s="294"/>
      <c r="BJ48" s="26"/>
      <c r="BL48" s="141"/>
      <c r="BM48" s="139"/>
      <c r="BN48" s="139"/>
      <c r="BO48" s="139"/>
      <c r="BP48" s="139"/>
      <c r="BQ48" s="139"/>
      <c r="BR48" s="139"/>
      <c r="BS48" s="139"/>
      <c r="BT48" s="139"/>
      <c r="BU48" s="139"/>
      <c r="BV48" s="139" t="s">
        <v>173</v>
      </c>
      <c r="BW48" s="139"/>
      <c r="BX48" s="139"/>
      <c r="BY48" s="139"/>
      <c r="BZ48" s="139"/>
      <c r="CA48" s="139"/>
      <c r="CB48" s="4">
        <f>VLOOKUP($G$11,$CF$21:$CX$49,19,FALSE)</f>
        <v>30</v>
      </c>
      <c r="CC48" s="139"/>
      <c r="CD48" s="147"/>
      <c r="CF48" s="4" t="s">
        <v>174</v>
      </c>
      <c r="CG48" s="156">
        <v>50</v>
      </c>
      <c r="CH48" s="156">
        <v>99000</v>
      </c>
      <c r="CI48" s="156">
        <v>110</v>
      </c>
      <c r="CJ48" s="156">
        <v>900</v>
      </c>
      <c r="CK48" s="156">
        <v>500</v>
      </c>
      <c r="CL48" s="156" t="s">
        <v>175</v>
      </c>
      <c r="CM48" s="156">
        <v>800</v>
      </c>
      <c r="CN48" s="156">
        <v>520</v>
      </c>
      <c r="CO48" s="156" t="s">
        <v>176</v>
      </c>
      <c r="CP48" s="156">
        <v>1</v>
      </c>
      <c r="CQ48" s="156">
        <v>180</v>
      </c>
      <c r="CR48" s="4" t="s">
        <v>172</v>
      </c>
      <c r="CS48" s="21">
        <v>50</v>
      </c>
      <c r="CT48" s="156">
        <v>50</v>
      </c>
      <c r="CU48" s="4">
        <v>150</v>
      </c>
      <c r="CV48" s="4">
        <v>150</v>
      </c>
      <c r="CW48" s="4">
        <v>200</v>
      </c>
      <c r="CX48" s="156">
        <f t="shared" si="5"/>
        <v>50</v>
      </c>
    </row>
    <row r="49" spans="1:102" ht="15" customHeight="1" thickBot="1" x14ac:dyDescent="0.25">
      <c r="Q49" s="11"/>
      <c r="R49" s="309"/>
      <c r="W49" s="161"/>
      <c r="AA49" s="35"/>
      <c r="AP49" s="38"/>
      <c r="AQ49" s="35"/>
      <c r="AW49" s="218">
        <v>1</v>
      </c>
      <c r="AX49" s="218"/>
      <c r="BD49" s="218">
        <v>21</v>
      </c>
      <c r="BE49" s="218"/>
      <c r="BJ49" s="26"/>
      <c r="BL49" s="141"/>
      <c r="BM49" s="139"/>
      <c r="BN49" s="139"/>
      <c r="BO49" s="139"/>
      <c r="BP49" s="139"/>
      <c r="BQ49" s="139"/>
      <c r="BR49" s="139"/>
      <c r="BS49" s="139"/>
      <c r="BT49" s="139"/>
      <c r="BU49" s="139"/>
      <c r="BV49" s="139"/>
      <c r="BW49" s="139"/>
      <c r="BX49" s="139"/>
      <c r="BY49" s="139"/>
      <c r="BZ49" s="139"/>
      <c r="CA49" s="139"/>
      <c r="CB49" s="139"/>
      <c r="CC49" s="139"/>
      <c r="CD49" s="147"/>
      <c r="CF49" s="4" t="s">
        <v>177</v>
      </c>
      <c r="CG49" s="156">
        <v>100</v>
      </c>
      <c r="CH49" s="156">
        <v>198000</v>
      </c>
      <c r="CI49" s="156">
        <v>110</v>
      </c>
      <c r="CJ49" s="156">
        <v>900</v>
      </c>
      <c r="CK49" s="156">
        <v>500</v>
      </c>
      <c r="CL49" s="156" t="s">
        <v>175</v>
      </c>
      <c r="CM49" s="156">
        <v>800</v>
      </c>
      <c r="CN49" s="156">
        <v>520</v>
      </c>
      <c r="CO49" s="156" t="s">
        <v>176</v>
      </c>
      <c r="CP49" s="156">
        <v>1</v>
      </c>
      <c r="CQ49" s="156">
        <v>180</v>
      </c>
      <c r="CR49" s="4" t="s">
        <v>172</v>
      </c>
      <c r="CS49" s="21">
        <v>100</v>
      </c>
      <c r="CT49" s="156">
        <v>100</v>
      </c>
      <c r="CU49" s="4">
        <v>300</v>
      </c>
      <c r="CV49" s="4">
        <v>300</v>
      </c>
      <c r="CW49" s="4">
        <v>200</v>
      </c>
      <c r="CX49" s="156">
        <f t="shared" si="5"/>
        <v>100</v>
      </c>
    </row>
    <row r="50" spans="1:102" ht="15" customHeight="1" thickBot="1" x14ac:dyDescent="0.25">
      <c r="A50" s="235" t="s">
        <v>178</v>
      </c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7"/>
      <c r="Q50" s="11"/>
      <c r="R50" s="309"/>
      <c r="W50" s="161"/>
      <c r="AA50" s="35"/>
      <c r="AP50" s="38"/>
      <c r="AQ50" s="34"/>
      <c r="AR50" s="201" t="s">
        <v>121</v>
      </c>
      <c r="AS50" s="201"/>
      <c r="AT50" s="202">
        <v>3</v>
      </c>
      <c r="AU50" s="202"/>
      <c r="AV50" s="33"/>
      <c r="AW50" s="219"/>
      <c r="AX50" s="219"/>
      <c r="AY50" s="46"/>
      <c r="AZ50" s="289" t="s">
        <v>122</v>
      </c>
      <c r="BA50" s="290"/>
      <c r="BB50" s="291"/>
      <c r="BC50" s="33"/>
      <c r="BD50" s="219"/>
      <c r="BE50" s="219"/>
      <c r="BF50" s="32"/>
      <c r="BG50" s="289" t="s">
        <v>122</v>
      </c>
      <c r="BH50" s="290"/>
      <c r="BI50" s="291"/>
      <c r="BJ50" s="26"/>
      <c r="BL50" s="141"/>
      <c r="BM50" s="139"/>
      <c r="BN50" s="139"/>
      <c r="BO50" s="139"/>
      <c r="BP50" s="139"/>
      <c r="BQ50" s="139"/>
      <c r="BR50" s="139"/>
      <c r="BS50" s="139"/>
      <c r="BT50" s="139"/>
      <c r="BU50" s="139"/>
      <c r="BV50" s="139"/>
      <c r="BW50" s="139"/>
      <c r="BX50" s="139"/>
      <c r="BY50" s="139"/>
      <c r="BZ50" s="139"/>
      <c r="CA50" s="139"/>
      <c r="CB50" s="139"/>
      <c r="CC50" s="139"/>
      <c r="CD50" s="147"/>
      <c r="CG50" s="156"/>
      <c r="CH50" s="156"/>
      <c r="CI50" s="156"/>
      <c r="CJ50" s="156"/>
      <c r="CK50" s="156"/>
      <c r="CL50" s="156"/>
      <c r="CM50" s="156"/>
      <c r="CN50" s="156"/>
      <c r="CO50" s="156"/>
      <c r="CP50" s="156"/>
      <c r="CQ50" s="156"/>
      <c r="CS50" s="21"/>
    </row>
    <row r="51" spans="1:102" ht="15" customHeight="1" thickBot="1" x14ac:dyDescent="0.25">
      <c r="A51" s="303"/>
      <c r="B51" s="304"/>
      <c r="C51" s="304"/>
      <c r="D51" s="304"/>
      <c r="E51" s="304"/>
      <c r="F51" s="304"/>
      <c r="G51" s="304"/>
      <c r="H51" s="304"/>
      <c r="I51" s="304"/>
      <c r="J51" s="304"/>
      <c r="K51" s="304"/>
      <c r="L51" s="304"/>
      <c r="M51" s="304"/>
      <c r="N51" s="304"/>
      <c r="O51" s="305"/>
      <c r="Q51" s="11"/>
      <c r="W51" s="161"/>
      <c r="Y51" s="56"/>
      <c r="AA51" s="35"/>
      <c r="AE51" s="203" t="str">
        <f>G11</f>
        <v>SMILE-G3-T20</v>
      </c>
      <c r="AF51" s="203"/>
      <c r="AG51" s="203"/>
      <c r="AH51" s="203"/>
      <c r="AI51" s="203"/>
      <c r="AJ51" s="203"/>
      <c r="AK51" s="203"/>
      <c r="AL51" s="203"/>
      <c r="AM51" s="203"/>
      <c r="AN51" s="203"/>
      <c r="AO51" s="38"/>
      <c r="AP51" s="38"/>
      <c r="AQ51" s="35"/>
      <c r="AR51" s="201"/>
      <c r="AS51" s="201"/>
      <c r="AT51" s="202"/>
      <c r="AU51" s="202"/>
      <c r="AW51" s="177"/>
      <c r="AZ51" s="292"/>
      <c r="BA51" s="293"/>
      <c r="BB51" s="294"/>
      <c r="BG51" s="292"/>
      <c r="BH51" s="293"/>
      <c r="BI51" s="294"/>
      <c r="BJ51" s="26"/>
      <c r="BL51" s="141"/>
      <c r="BM51" s="139"/>
      <c r="BN51" s="139"/>
      <c r="BO51" s="139"/>
      <c r="BP51" s="139"/>
      <c r="BQ51" s="139"/>
      <c r="BR51" s="139"/>
      <c r="BS51" s="139"/>
      <c r="BT51" s="139"/>
      <c r="BU51" s="139"/>
      <c r="BV51" s="139"/>
      <c r="BW51" s="139"/>
      <c r="BX51" s="139"/>
      <c r="BY51" s="139"/>
      <c r="BZ51" s="139"/>
      <c r="CA51" s="139"/>
      <c r="CB51" s="139"/>
      <c r="CC51" s="139"/>
      <c r="CD51" s="147"/>
      <c r="CG51" s="156"/>
      <c r="CH51" s="156"/>
      <c r="CI51" s="156"/>
      <c r="CJ51" s="156"/>
      <c r="CK51" s="156"/>
      <c r="CL51" s="156"/>
      <c r="CM51" s="156"/>
      <c r="CN51" s="156"/>
      <c r="CO51" s="156"/>
      <c r="CP51" s="156"/>
      <c r="CQ51" s="156"/>
      <c r="CR51" s="156"/>
      <c r="CS51" s="21"/>
    </row>
    <row r="52" spans="1:102" ht="15" customHeight="1" thickBot="1" x14ac:dyDescent="0.25">
      <c r="A52" s="40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2"/>
      <c r="Q52" s="11"/>
      <c r="W52" s="161"/>
      <c r="AA52" s="34"/>
      <c r="AB52" s="33"/>
      <c r="AC52" s="33"/>
      <c r="AD52" s="33"/>
      <c r="AE52" s="33"/>
      <c r="AF52" s="33"/>
      <c r="AG52" s="46"/>
      <c r="AH52" s="207" t="s">
        <v>133</v>
      </c>
      <c r="AI52" s="208"/>
      <c r="AJ52" s="223"/>
      <c r="AK52" s="224"/>
      <c r="AM52" s="38"/>
      <c r="AQ52" s="35"/>
      <c r="AR52" s="170" t="s">
        <v>134</v>
      </c>
      <c r="AS52" s="28"/>
      <c r="AT52" s="301" t="s">
        <v>135</v>
      </c>
      <c r="AU52" s="302"/>
      <c r="AW52" s="177"/>
      <c r="BD52" s="192" t="str">
        <f>IF(AW49&lt;2,"",BD49)</f>
        <v/>
      </c>
      <c r="BE52" s="192"/>
      <c r="BJ52" s="26"/>
      <c r="BL52" s="141"/>
      <c r="BM52" s="139"/>
      <c r="BN52" s="139"/>
      <c r="BO52" s="139"/>
      <c r="BP52" s="139"/>
      <c r="BQ52" s="139"/>
      <c r="BR52" s="139"/>
      <c r="BS52" s="139"/>
      <c r="BT52" s="139"/>
      <c r="BU52" s="139"/>
      <c r="BV52" s="139"/>
      <c r="BW52" s="139"/>
      <c r="BX52" s="139"/>
      <c r="BY52" s="139"/>
      <c r="BZ52" s="139"/>
      <c r="CA52" s="139"/>
      <c r="CB52" s="139"/>
      <c r="CC52" s="139"/>
      <c r="CD52" s="147"/>
      <c r="CG52" s="156"/>
      <c r="CH52" s="156"/>
      <c r="CI52" s="156"/>
      <c r="CJ52" s="156"/>
      <c r="CK52" s="156"/>
      <c r="CL52" s="156"/>
      <c r="CM52" s="156"/>
      <c r="CN52" s="156"/>
      <c r="CO52" s="156"/>
      <c r="CP52" s="156"/>
      <c r="CQ52" s="156"/>
      <c r="CS52" s="156"/>
      <c r="CT52" s="156"/>
      <c r="CX52" s="156"/>
    </row>
    <row r="53" spans="1:102" ht="15" customHeight="1" thickBot="1" x14ac:dyDescent="0.25">
      <c r="A53" s="11"/>
      <c r="B53" s="10" t="s">
        <v>179</v>
      </c>
      <c r="C53" s="10"/>
      <c r="J53" s="306">
        <v>6000</v>
      </c>
      <c r="K53" s="307"/>
      <c r="L53" s="61" t="s">
        <v>26</v>
      </c>
      <c r="O53" s="26"/>
      <c r="Q53" s="11"/>
      <c r="W53" s="161"/>
      <c r="AH53" s="209"/>
      <c r="AI53" s="210"/>
      <c r="AJ53" s="225"/>
      <c r="AK53" s="226"/>
      <c r="AL53" s="34"/>
      <c r="AM53" s="160"/>
      <c r="AN53" s="160"/>
      <c r="AO53" s="160"/>
      <c r="AP53" s="160"/>
      <c r="AQ53" s="35"/>
      <c r="AR53" s="183" t="s">
        <v>141</v>
      </c>
      <c r="AS53" s="182"/>
      <c r="AT53" s="184"/>
      <c r="AU53" s="184">
        <f>IF(AND($AY$13&lt;&gt;"AC",$K$22&gt;=3,AT52="ja"),1,0)</f>
        <v>1</v>
      </c>
      <c r="AW53" s="177"/>
      <c r="AX53" s="157"/>
      <c r="AY53" s="46"/>
      <c r="AZ53" s="289" t="s">
        <v>122</v>
      </c>
      <c r="BA53" s="290"/>
      <c r="BB53" s="291"/>
      <c r="BC53" s="33"/>
      <c r="BD53" s="193"/>
      <c r="BE53" s="193"/>
      <c r="BF53" s="32"/>
      <c r="BG53" s="289" t="s">
        <v>122</v>
      </c>
      <c r="BH53" s="290"/>
      <c r="BI53" s="291"/>
      <c r="BJ53" s="26"/>
      <c r="BL53" s="141"/>
      <c r="BM53" s="139"/>
      <c r="BN53" s="139"/>
      <c r="BO53" s="139"/>
      <c r="BP53" s="139"/>
      <c r="BQ53" s="139"/>
      <c r="BR53" s="139"/>
      <c r="BS53" s="139"/>
      <c r="BT53" s="139"/>
      <c r="BU53" s="139"/>
      <c r="BV53" s="139"/>
      <c r="BW53" s="139"/>
      <c r="BX53" s="139"/>
      <c r="BY53" s="139"/>
      <c r="BZ53" s="139"/>
      <c r="CA53" s="139"/>
      <c r="CB53" s="139"/>
      <c r="CC53" s="139"/>
      <c r="CD53" s="147"/>
      <c r="CF53" s="16"/>
      <c r="CG53" s="16"/>
      <c r="CH53" s="16"/>
      <c r="CI53" s="16"/>
      <c r="CJ53" s="16"/>
      <c r="CK53" s="16"/>
      <c r="CL53" s="10"/>
      <c r="CM53" s="10"/>
    </row>
    <row r="54" spans="1:102" ht="15" customHeight="1" thickBot="1" x14ac:dyDescent="0.25">
      <c r="A54" s="11"/>
      <c r="B54" s="10" t="s">
        <v>180</v>
      </c>
      <c r="C54" s="10"/>
      <c r="D54" s="10"/>
      <c r="E54" s="10"/>
      <c r="F54" s="10"/>
      <c r="G54" s="10"/>
      <c r="H54" s="10"/>
      <c r="K54" s="10">
        <f>J53/365</f>
        <v>16.438356164383563</v>
      </c>
      <c r="L54" s="61" t="s">
        <v>26</v>
      </c>
      <c r="O54" s="26"/>
      <c r="Q54" s="11"/>
      <c r="W54" s="157"/>
      <c r="X54" s="49"/>
      <c r="Y54" s="49"/>
      <c r="Z54" s="49"/>
      <c r="AA54" s="49"/>
      <c r="AB54" s="163"/>
      <c r="AC54" s="163"/>
      <c r="AD54" s="163"/>
      <c r="AE54" s="163"/>
      <c r="AF54" s="163"/>
      <c r="AG54" s="53"/>
      <c r="AH54" s="227"/>
      <c r="AI54" s="225"/>
      <c r="AJ54" s="210" t="s">
        <v>120</v>
      </c>
      <c r="AK54" s="211"/>
      <c r="AM54" s="38"/>
      <c r="AN54" s="38"/>
      <c r="AO54" s="38"/>
      <c r="AP54" s="38"/>
      <c r="AQ54" s="35"/>
      <c r="AZ54" s="292"/>
      <c r="BA54" s="293"/>
      <c r="BB54" s="294"/>
      <c r="BG54" s="292"/>
      <c r="BH54" s="293"/>
      <c r="BI54" s="294"/>
      <c r="BJ54" s="26"/>
      <c r="BL54" s="141"/>
      <c r="BM54" s="139"/>
      <c r="BN54" s="139"/>
      <c r="BO54" s="139"/>
      <c r="BP54" s="139"/>
      <c r="BQ54" s="139"/>
      <c r="BR54" s="139"/>
      <c r="BS54" s="139"/>
      <c r="BT54" s="139"/>
      <c r="BU54" s="139"/>
      <c r="BV54" s="139"/>
      <c r="BW54" s="139"/>
      <c r="BX54" s="139"/>
      <c r="BY54" s="139"/>
      <c r="BZ54" s="139"/>
      <c r="CA54" s="139"/>
      <c r="CB54" s="139"/>
      <c r="CC54" s="139"/>
      <c r="CD54" s="147"/>
      <c r="CG54" s="156"/>
      <c r="CH54" s="156"/>
      <c r="CI54" s="156"/>
      <c r="CJ54" s="156"/>
      <c r="CK54" s="156"/>
      <c r="CL54" s="156"/>
      <c r="CM54" s="156"/>
      <c r="CN54" s="156"/>
      <c r="CO54" s="156"/>
      <c r="CP54" s="156"/>
      <c r="CQ54" s="156"/>
      <c r="CS54" s="156"/>
      <c r="CT54" s="156"/>
      <c r="CX54" s="156"/>
    </row>
    <row r="55" spans="1:102" ht="15" customHeight="1" thickBot="1" x14ac:dyDescent="0.25">
      <c r="A55" s="11"/>
      <c r="B55" s="10" t="s">
        <v>181</v>
      </c>
      <c r="C55" s="10"/>
      <c r="D55" s="10"/>
      <c r="E55" s="10"/>
      <c r="F55" s="10"/>
      <c r="G55" s="10"/>
      <c r="H55" s="10"/>
      <c r="I55" s="10"/>
      <c r="J55" s="189">
        <v>40</v>
      </c>
      <c r="K55" s="191"/>
      <c r="L55" s="61" t="s">
        <v>182</v>
      </c>
      <c r="M55" s="10"/>
      <c r="O55" s="26"/>
      <c r="Q55" s="11"/>
      <c r="AH55" s="228"/>
      <c r="AI55" s="229"/>
      <c r="AJ55" s="212"/>
      <c r="AK55" s="213"/>
      <c r="AM55" s="38"/>
      <c r="AN55" s="38"/>
      <c r="AO55" s="38"/>
      <c r="AP55" s="38"/>
      <c r="AQ55" s="35"/>
      <c r="AW55" s="218">
        <v>2</v>
      </c>
      <c r="AX55" s="218"/>
      <c r="BD55" s="218">
        <v>21</v>
      </c>
      <c r="BE55" s="218"/>
      <c r="BJ55" s="26"/>
      <c r="BL55" s="141"/>
      <c r="BM55" s="139"/>
      <c r="BN55" s="139"/>
      <c r="BO55" s="139"/>
      <c r="BP55" s="139"/>
      <c r="BQ55" s="139"/>
      <c r="BR55" s="139"/>
      <c r="BS55" s="139"/>
      <c r="BT55" s="139"/>
      <c r="BU55" s="139"/>
      <c r="BV55" s="139"/>
      <c r="BW55" s="139"/>
      <c r="BX55" s="139"/>
      <c r="BY55" s="139"/>
      <c r="BZ55" s="139"/>
      <c r="CA55" s="139"/>
      <c r="CB55" s="139"/>
      <c r="CC55" s="139"/>
      <c r="CD55" s="147"/>
      <c r="CF55" s="16"/>
      <c r="CG55" s="16"/>
      <c r="CH55" s="16"/>
      <c r="CI55" s="16"/>
      <c r="CJ55" s="16"/>
      <c r="CK55" s="16"/>
      <c r="CL55" s="10"/>
      <c r="CM55" s="10"/>
    </row>
    <row r="56" spans="1:102" ht="15" customHeight="1" thickBot="1" x14ac:dyDescent="0.3">
      <c r="A56" s="11"/>
      <c r="B56" s="62" t="s">
        <v>183</v>
      </c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26"/>
      <c r="Q56" s="11"/>
      <c r="AI56" s="47"/>
      <c r="AM56" s="38"/>
      <c r="AN56" s="38"/>
      <c r="AO56" s="38"/>
      <c r="AP56" s="38"/>
      <c r="AQ56" s="34"/>
      <c r="AR56" s="201" t="s">
        <v>121</v>
      </c>
      <c r="AS56" s="201"/>
      <c r="AT56" s="202">
        <v>4</v>
      </c>
      <c r="AU56" s="202"/>
      <c r="AV56" s="33"/>
      <c r="AW56" s="219"/>
      <c r="AX56" s="219"/>
      <c r="AY56" s="46"/>
      <c r="AZ56" s="289" t="s">
        <v>122</v>
      </c>
      <c r="BA56" s="290"/>
      <c r="BB56" s="291"/>
      <c r="BC56" s="33"/>
      <c r="BD56" s="219"/>
      <c r="BE56" s="219"/>
      <c r="BF56" s="32"/>
      <c r="BG56" s="289" t="s">
        <v>122</v>
      </c>
      <c r="BH56" s="290"/>
      <c r="BI56" s="291"/>
      <c r="BJ56" s="26"/>
      <c r="BL56" s="11"/>
      <c r="CD56" s="26"/>
      <c r="CF56" s="73" t="s">
        <v>184</v>
      </c>
      <c r="CG56" s="74" t="s">
        <v>185</v>
      </c>
      <c r="CH56" s="74" t="s">
        <v>186</v>
      </c>
      <c r="CI56" s="74" t="s">
        <v>187</v>
      </c>
      <c r="CJ56" s="74" t="s">
        <v>188</v>
      </c>
      <c r="CK56" s="74" t="s">
        <v>189</v>
      </c>
      <c r="CL56" s="74" t="s">
        <v>190</v>
      </c>
      <c r="CM56" s="74" t="s">
        <v>191</v>
      </c>
      <c r="CN56" s="74" t="s">
        <v>192</v>
      </c>
      <c r="CO56" s="75" t="s">
        <v>193</v>
      </c>
      <c r="CP56" s="76" t="s">
        <v>194</v>
      </c>
      <c r="CQ56" s="76" t="s">
        <v>194</v>
      </c>
      <c r="CR56" s="76" t="s">
        <v>195</v>
      </c>
    </row>
    <row r="57" spans="1:102" ht="15" customHeight="1" thickBot="1" x14ac:dyDescent="0.25">
      <c r="A57" s="15"/>
      <c r="B57" s="10" t="s">
        <v>196</v>
      </c>
      <c r="C57" s="10"/>
      <c r="J57" s="306">
        <v>900</v>
      </c>
      <c r="K57" s="307"/>
      <c r="L57" s="61" t="s">
        <v>197</v>
      </c>
      <c r="O57" s="12"/>
      <c r="Q57" s="11"/>
      <c r="AH57" s="159" t="s">
        <v>198</v>
      </c>
      <c r="AI57" s="47"/>
      <c r="AK57" s="158" t="s">
        <v>172</v>
      </c>
      <c r="AM57" s="38"/>
      <c r="AN57" s="38"/>
      <c r="AO57" s="38"/>
      <c r="AP57" s="38"/>
      <c r="AR57" s="201"/>
      <c r="AS57" s="201"/>
      <c r="AT57" s="202"/>
      <c r="AU57" s="202"/>
      <c r="AW57" s="177"/>
      <c r="AZ57" s="292"/>
      <c r="BA57" s="293"/>
      <c r="BB57" s="294"/>
      <c r="BG57" s="292"/>
      <c r="BH57" s="293"/>
      <c r="BI57" s="294"/>
      <c r="BJ57" s="26"/>
      <c r="BL57" s="11"/>
      <c r="CD57" s="26"/>
      <c r="CF57" s="77" t="str">
        <f>IF(Modulliste!A2=0,"",Modulliste!A2)</f>
        <v>BauerSolartechnik</v>
      </c>
      <c r="CG57" s="78" t="str">
        <f>IF(Modulliste!B2=0,"",Modulliste!B2)</f>
        <v>BS-310-6MB5-EL</v>
      </c>
      <c r="CH57" s="78">
        <f>IF(Modulliste!C2=0,"",Modulliste!C2)</f>
        <v>310</v>
      </c>
      <c r="CI57" s="78">
        <f>IF(Modulliste!D2=0,"",Modulliste!D2)</f>
        <v>32.6</v>
      </c>
      <c r="CJ57" s="78">
        <f>IF(Modulliste!E2=0,"",Modulliste!E2)</f>
        <v>9.52</v>
      </c>
      <c r="CK57" s="78">
        <f>IF(Modulliste!F2=0,"",Modulliste!F2)</f>
        <v>40.1</v>
      </c>
      <c r="CL57" s="78">
        <f>IF(Modulliste!G2=0,"",Modulliste!G2)</f>
        <v>9.8699999999999992</v>
      </c>
      <c r="CM57" s="78">
        <f>IF(Modulliste!H2=0,"",Modulliste!H2)</f>
        <v>-0.45</v>
      </c>
      <c r="CN57" s="78">
        <f>IF(Modulliste!I2=0,"",Modulliste!I2)</f>
        <v>-0.28999999999999998</v>
      </c>
      <c r="CO57" s="79">
        <f>IF(Modulliste!J2=0,"",Modulliste!J2)</f>
        <v>0.05</v>
      </c>
      <c r="CP57" s="50" t="str">
        <f ca="1">Modulliste!L2</f>
        <v>BauerSolartechnik</v>
      </c>
      <c r="CQ57" s="50" t="str">
        <f t="array" ref="CQ57">IFERROR(INDEX($CG$57:$CG$86,SMALL(IF($CF$57:$CF$86=$H$29,ROW($1:$30)),CR57)),"")</f>
        <v>Eversol DS440</v>
      </c>
      <c r="CR57" s="50">
        <v>1</v>
      </c>
    </row>
    <row r="58" spans="1:102" ht="15" customHeight="1" thickBot="1" x14ac:dyDescent="0.25">
      <c r="A58" s="11"/>
      <c r="B58" s="54"/>
      <c r="O58" s="12"/>
      <c r="Q58" s="11"/>
      <c r="AG58" s="272" t="str">
        <f>K15&amp;" kWh"</f>
        <v>21,9 kWh</v>
      </c>
      <c r="AH58" s="273"/>
      <c r="AI58" s="274"/>
      <c r="AJ58" s="274"/>
      <c r="AK58" s="273"/>
      <c r="AL58" s="275"/>
      <c r="AM58" s="38"/>
      <c r="AN58" s="38"/>
      <c r="AO58" s="38"/>
      <c r="AP58" s="38"/>
      <c r="AR58" s="170" t="s">
        <v>134</v>
      </c>
      <c r="AS58" s="28"/>
      <c r="AT58" s="301" t="s">
        <v>135</v>
      </c>
      <c r="AU58" s="302"/>
      <c r="AW58" s="177"/>
      <c r="BD58" s="221">
        <f>IF(AW55&lt;2,"",BD55)</f>
        <v>21</v>
      </c>
      <c r="BE58" s="221"/>
      <c r="BJ58" s="26"/>
      <c r="BL58" s="11"/>
      <c r="CD58" s="26"/>
      <c r="CF58" s="80" t="str">
        <f>IF(Modulliste!A3=0,"",Modulliste!A3)</f>
        <v>BauerSolartechnik</v>
      </c>
      <c r="CG58" s="81" t="str">
        <f>IF(Modulliste!B3=0,"",Modulliste!B3)</f>
        <v>BS-320-6MB5-EL</v>
      </c>
      <c r="CH58" s="81">
        <f>IF(Modulliste!C3=0,"",Modulliste!C3)</f>
        <v>320</v>
      </c>
      <c r="CI58" s="81">
        <f>IF(Modulliste!D3=0,"",Modulliste!D3)</f>
        <v>33</v>
      </c>
      <c r="CJ58" s="81">
        <f>IF(Modulliste!E3=0,"",Modulliste!E3)</f>
        <v>9.6999999999999993</v>
      </c>
      <c r="CK58" s="81">
        <f>IF(Modulliste!F3=0,"",Modulliste!F3)</f>
        <v>40.4</v>
      </c>
      <c r="CL58" s="81">
        <f>IF(Modulliste!G3=0,"",Modulliste!G3)</f>
        <v>10.029999999999999</v>
      </c>
      <c r="CM58" s="81">
        <f>IF(Modulliste!H3=0,"",Modulliste!H3)</f>
        <v>-0.45</v>
      </c>
      <c r="CN58" s="81">
        <f>IF(Modulliste!I3=0,"",Modulliste!I3)</f>
        <v>-0.28999999999999998</v>
      </c>
      <c r="CO58" s="82">
        <f>IF(Modulliste!J3=0,"",Modulliste!J3)</f>
        <v>0.05</v>
      </c>
      <c r="CP58" s="51" t="str">
        <f ca="1">Modulliste!L3</f>
        <v>Solyco</v>
      </c>
      <c r="CQ58" s="51" t="str">
        <f t="array" ref="CQ58">IFERROR(INDEX($CG$57:$CG$86,SMALL(IF($CF$57:$CF$86=$H$29,ROW($1:$30)),CR58)),"")</f>
        <v/>
      </c>
      <c r="CR58" s="51">
        <v>2</v>
      </c>
    </row>
    <row r="59" spans="1:102" ht="15" customHeight="1" thickBot="1" x14ac:dyDescent="0.3">
      <c r="A59" s="11"/>
      <c r="B59" s="63" t="s">
        <v>199</v>
      </c>
      <c r="C59" s="63"/>
      <c r="D59" s="17"/>
      <c r="E59" s="17"/>
      <c r="F59" s="17"/>
      <c r="G59" s="17"/>
      <c r="H59" s="17"/>
      <c r="I59" s="17"/>
      <c r="J59" s="195">
        <f>(J53/365)/(J57/365)*1.3</f>
        <v>8.6666666666666679</v>
      </c>
      <c r="K59" s="195"/>
      <c r="L59" s="43" t="s">
        <v>200</v>
      </c>
      <c r="M59" s="17"/>
      <c r="O59" s="26"/>
      <c r="Q59" s="11"/>
      <c r="AG59" s="276"/>
      <c r="AH59" s="273"/>
      <c r="AI59" s="273"/>
      <c r="AJ59" s="273"/>
      <c r="AK59" s="273"/>
      <c r="AL59" s="277"/>
      <c r="AM59" s="38"/>
      <c r="AN59" s="38"/>
      <c r="AO59" s="38"/>
      <c r="AP59" s="38"/>
      <c r="AR59" s="183" t="s">
        <v>141</v>
      </c>
      <c r="AS59" s="182"/>
      <c r="AT59" s="184"/>
      <c r="AU59" s="184">
        <f>IF(AND($AY$13&lt;&gt;"AC",$K$22&gt;=4,AT58="ja"),1,0)</f>
        <v>0</v>
      </c>
      <c r="AW59" s="177"/>
      <c r="AX59" s="157"/>
      <c r="AY59" s="46"/>
      <c r="AZ59" s="289" t="s">
        <v>122</v>
      </c>
      <c r="BA59" s="290"/>
      <c r="BB59" s="291"/>
      <c r="BC59" s="33"/>
      <c r="BD59" s="222"/>
      <c r="BE59" s="222"/>
      <c r="BF59" s="32"/>
      <c r="BG59" s="289" t="s">
        <v>122</v>
      </c>
      <c r="BH59" s="290"/>
      <c r="BI59" s="291"/>
      <c r="BJ59" s="26"/>
      <c r="BL59" s="11"/>
      <c r="CD59" s="26"/>
      <c r="CF59" s="83" t="str">
        <f>IF(Modulliste!A4=0,"",Modulliste!A4)</f>
        <v>BauerSolartechnik</v>
      </c>
      <c r="CG59" s="84" t="str">
        <f>IF(Modulliste!B4=0,"",Modulliste!B4)</f>
        <v>BS-320-6MBB5-GG</v>
      </c>
      <c r="CH59" s="84">
        <f>IF(Modulliste!C4=0,"",Modulliste!C4)</f>
        <v>320</v>
      </c>
      <c r="CI59" s="84">
        <f>IF(Modulliste!D4=0,"",Modulliste!D4)</f>
        <v>34.700000000000003</v>
      </c>
      <c r="CJ59" s="84">
        <f>IF(Modulliste!E4=0,"",Modulliste!E4)</f>
        <v>9.23</v>
      </c>
      <c r="CK59" s="84">
        <f>IF(Modulliste!F4=0,"",Modulliste!F4)</f>
        <v>41</v>
      </c>
      <c r="CL59" s="84">
        <f>IF(Modulliste!G4=0,"",Modulliste!G4)</f>
        <v>9.98</v>
      </c>
      <c r="CM59" s="84">
        <f>IF(Modulliste!H4=0,"",Modulliste!H4)</f>
        <v>-0.45</v>
      </c>
      <c r="CN59" s="84">
        <f>IF(Modulliste!I4=0,"",Modulliste!I4)</f>
        <v>-0.28999999999999998</v>
      </c>
      <c r="CO59" s="85">
        <f>IF(Modulliste!J4=0,"",Modulliste!J4)</f>
        <v>0.05</v>
      </c>
      <c r="CP59" s="51" t="str">
        <f ca="1">Modulliste!L4</f>
        <v>SolarFabrik</v>
      </c>
      <c r="CQ59" s="51" t="str">
        <f t="array" ref="CQ59">IFERROR(INDEX($CG$57:$CG$86,SMALL(IF($CF$57:$CF$86=$H$29,ROW($1:$30)),CR59)),"")</f>
        <v/>
      </c>
      <c r="CR59" s="51">
        <v>3</v>
      </c>
    </row>
    <row r="60" spans="1:102" ht="15" customHeight="1" thickBot="1" x14ac:dyDescent="0.3">
      <c r="A60" s="11"/>
      <c r="B60" s="63" t="s">
        <v>201</v>
      </c>
      <c r="C60" s="63"/>
      <c r="D60" s="17"/>
      <c r="E60" s="17"/>
      <c r="F60" s="17"/>
      <c r="G60" s="17"/>
      <c r="H60" s="17"/>
      <c r="I60" s="17"/>
      <c r="J60" s="195">
        <f>ROUNDUP(J53/365*(J55/100)/0.65,1)</f>
        <v>10.199999999999999</v>
      </c>
      <c r="K60" s="195"/>
      <c r="L60" s="43" t="s">
        <v>26</v>
      </c>
      <c r="M60" s="17"/>
      <c r="O60" s="26"/>
      <c r="Q60" s="11"/>
      <c r="AG60" s="278"/>
      <c r="AH60" s="279"/>
      <c r="AI60" s="279"/>
      <c r="AJ60" s="279"/>
      <c r="AK60" s="279"/>
      <c r="AL60" s="280"/>
      <c r="AM60" s="38"/>
      <c r="AN60" s="38"/>
      <c r="AO60" s="38"/>
      <c r="AP60" s="38"/>
      <c r="AZ60" s="292"/>
      <c r="BA60" s="293"/>
      <c r="BB60" s="294"/>
      <c r="BG60" s="292"/>
      <c r="BH60" s="293"/>
      <c r="BI60" s="294"/>
      <c r="BJ60" s="26"/>
      <c r="BL60" s="11"/>
      <c r="CD60" s="26"/>
      <c r="CF60" s="80" t="str">
        <f>IF(Modulliste!A5=0,"",Modulliste!A5)</f>
        <v>BauerSolartechnik</v>
      </c>
      <c r="CG60" s="81" t="str">
        <f>IF(Modulliste!B5=0,"",Modulliste!B5)</f>
        <v>BS-330-6MBB5-GG</v>
      </c>
      <c r="CH60" s="81">
        <f>IF(Modulliste!C5=0,"",Modulliste!C5)</f>
        <v>330</v>
      </c>
      <c r="CI60" s="81">
        <f>IF(Modulliste!D5=0,"",Modulliste!D5)</f>
        <v>35.1</v>
      </c>
      <c r="CJ60" s="81">
        <f>IF(Modulliste!E5=0,"",Modulliste!E5)</f>
        <v>9.41</v>
      </c>
      <c r="CK60" s="81">
        <f>IF(Modulliste!F5=0,"",Modulliste!F5)</f>
        <v>41.5</v>
      </c>
      <c r="CL60" s="81">
        <f>IF(Modulliste!G5=0,"",Modulliste!G5)</f>
        <v>10.17</v>
      </c>
      <c r="CM60" s="81">
        <f>IF(Modulliste!H5=0,"",Modulliste!H5)</f>
        <v>-0.45</v>
      </c>
      <c r="CN60" s="81">
        <f>IF(Modulliste!I5=0,"",Modulliste!I5)</f>
        <v>-0.28999999999999998</v>
      </c>
      <c r="CO60" s="82">
        <f>IF(Modulliste!J5=0,"",Modulliste!J5)</f>
        <v>0.05</v>
      </c>
      <c r="CP60" s="51" t="str">
        <f ca="1">Modulliste!L5</f>
        <v>Trina Solar</v>
      </c>
      <c r="CQ60" s="51" t="str">
        <f t="array" ref="CQ60">IFERROR(INDEX($CG$57:$CG$86,SMALL(IF($CF$57:$CF$86=$H$29,ROW($1:$30)),CR60)),"")</f>
        <v/>
      </c>
      <c r="CR60" s="51">
        <v>4</v>
      </c>
    </row>
    <row r="61" spans="1:102" ht="15" customHeight="1" x14ac:dyDescent="0.2">
      <c r="A61" s="31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28"/>
      <c r="Q61" s="31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185" t="s">
        <v>141</v>
      </c>
      <c r="AH61" s="186"/>
      <c r="AI61" s="186"/>
      <c r="AJ61" s="186"/>
      <c r="AK61" s="186"/>
      <c r="AL61" s="185">
        <f>IF(F14&gt;0,1,0)</f>
        <v>1</v>
      </c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8"/>
      <c r="BL61" s="31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8"/>
      <c r="CF61" s="83" t="str">
        <f>IF(Modulliste!A6=0,"",Modulliste!A6)</f>
        <v>BauerSolartechnik</v>
      </c>
      <c r="CG61" s="84" t="str">
        <f>IF(Modulliste!B6=0,"",Modulliste!B6)</f>
        <v>BS-330-6MBHB5-EL-FB</v>
      </c>
      <c r="CH61" s="84">
        <f>IF(Modulliste!C6=0,"",Modulliste!C6)</f>
        <v>330</v>
      </c>
      <c r="CI61" s="84">
        <f>IF(Modulliste!D6=0,"",Modulliste!D6)</f>
        <v>33.700000000000003</v>
      </c>
      <c r="CJ61" s="84">
        <f>IF(Modulliste!E6=0,"",Modulliste!E6)</f>
        <v>9.8000000000000007</v>
      </c>
      <c r="CK61" s="84">
        <f>IF(Modulliste!F6=0,"",Modulliste!F6)</f>
        <v>40.6</v>
      </c>
      <c r="CL61" s="84">
        <f>IF(Modulliste!G6=0,"",Modulliste!G6)</f>
        <v>10.35</v>
      </c>
      <c r="CM61" s="84">
        <f>IF(Modulliste!H6=0,"",Modulliste!H6)</f>
        <v>-0.45</v>
      </c>
      <c r="CN61" s="84">
        <f>IF(Modulliste!I6=0,"",Modulliste!I6)</f>
        <v>-0.28999999999999998</v>
      </c>
      <c r="CO61" s="85">
        <f>IF(Modulliste!J6=0,"",Modulliste!J6)</f>
        <v>0.05</v>
      </c>
      <c r="CP61" s="51" t="str">
        <f ca="1">Modulliste!L6</f>
        <v>Sunpro</v>
      </c>
      <c r="CQ61" s="51" t="str">
        <f t="array" ref="CQ61">IFERROR(INDEX($CG$57:$CG$86,SMALL(IF($CF$57:$CF$86=$H$29,ROW($1:$30)),CR61)),"")</f>
        <v/>
      </c>
      <c r="CR61" s="51">
        <v>5</v>
      </c>
      <c r="CW61" s="38"/>
      <c r="CX61" s="38"/>
    </row>
    <row r="62" spans="1:102" ht="15" customHeight="1" x14ac:dyDescent="0.2">
      <c r="CF62" s="80" t="str">
        <f>IF(Modulliste!A7=0,"",Modulliste!A7)</f>
        <v>BauerSolartechnik</v>
      </c>
      <c r="CG62" s="81" t="str">
        <f>IF(Modulliste!B7=0,"",Modulliste!B7)</f>
        <v>BS-335-6MHB5-EL</v>
      </c>
      <c r="CH62" s="81">
        <f>IF(Modulliste!C7=0,"",Modulliste!C7)</f>
        <v>335</v>
      </c>
      <c r="CI62" s="81">
        <f>IF(Modulliste!D7=0,"",Modulliste!D7)</f>
        <v>33.9</v>
      </c>
      <c r="CJ62" s="81">
        <f>IF(Modulliste!E7=0,"",Modulliste!E7)</f>
        <v>9.89</v>
      </c>
      <c r="CK62" s="81">
        <f>IF(Modulliste!F7=0,"",Modulliste!F7)</f>
        <v>40.799999999999997</v>
      </c>
      <c r="CL62" s="81">
        <f>IF(Modulliste!G7=0,"",Modulliste!G7)</f>
        <v>10.42</v>
      </c>
      <c r="CM62" s="81">
        <f>IF(Modulliste!H7=0,"",Modulliste!H7)</f>
        <v>-0.45</v>
      </c>
      <c r="CN62" s="81">
        <f>IF(Modulliste!I7=0,"",Modulliste!I7)</f>
        <v>-0.28999999999999998</v>
      </c>
      <c r="CO62" s="82">
        <f>IF(Modulliste!J7=0,"",Modulliste!J7)</f>
        <v>0.05</v>
      </c>
      <c r="CP62" s="51" t="str">
        <f ca="1">Modulliste!L7</f>
        <v xml:space="preserve">Canadian </v>
      </c>
      <c r="CQ62" s="51" t="str">
        <f t="array" ref="CQ62">IFERROR(INDEX($CG$57:$CG$86,SMALL(IF($CF$57:$CF$86=$H$29,ROW($1:$30)),CR62)),"")</f>
        <v/>
      </c>
      <c r="CR62" s="51">
        <v>6</v>
      </c>
      <c r="CS62" s="38"/>
      <c r="CT62" s="38"/>
      <c r="CU62" s="38"/>
      <c r="CV62" s="38"/>
    </row>
    <row r="63" spans="1:102" ht="15" customHeight="1" x14ac:dyDescent="0.2">
      <c r="A63" s="271" t="s">
        <v>202</v>
      </c>
      <c r="B63" s="271"/>
      <c r="C63" s="271"/>
      <c r="D63" s="271"/>
      <c r="E63" s="271"/>
      <c r="F63" s="271"/>
      <c r="G63" s="271"/>
      <c r="H63" s="271"/>
      <c r="I63" s="271"/>
      <c r="J63" s="271"/>
      <c r="K63" s="271"/>
      <c r="L63" s="271"/>
      <c r="M63" s="271"/>
      <c r="N63" s="271"/>
      <c r="O63" s="271"/>
      <c r="P63" s="271"/>
      <c r="Q63" s="271"/>
      <c r="R63" s="271"/>
      <c r="S63" s="271"/>
      <c r="T63" s="271"/>
      <c r="U63" s="271"/>
      <c r="V63" s="271"/>
      <c r="W63" s="271"/>
      <c r="X63" s="271"/>
      <c r="Y63" s="271"/>
      <c r="Z63" s="271"/>
      <c r="AA63" s="271"/>
      <c r="AB63" s="271"/>
      <c r="AC63" s="271"/>
      <c r="AD63" s="271"/>
      <c r="AE63" s="271"/>
      <c r="AF63" s="271"/>
      <c r="AG63" s="271"/>
      <c r="AH63" s="271"/>
      <c r="AI63" s="271"/>
      <c r="AJ63" s="271"/>
      <c r="AK63" s="271"/>
      <c r="AL63" s="271"/>
      <c r="AM63" s="271"/>
      <c r="AN63" s="271"/>
      <c r="AO63" s="271"/>
      <c r="AP63" s="271"/>
      <c r="AQ63" s="271"/>
      <c r="AR63" s="271"/>
      <c r="AS63" s="271"/>
      <c r="AT63" s="271"/>
      <c r="AU63" s="271"/>
      <c r="AV63" s="271"/>
      <c r="AW63" s="271"/>
      <c r="AX63" s="271"/>
      <c r="AY63" s="271"/>
      <c r="AZ63" s="271"/>
      <c r="BA63" s="271"/>
      <c r="BB63" s="271"/>
      <c r="BC63" s="271"/>
      <c r="BD63" s="271"/>
      <c r="BE63" s="271"/>
      <c r="BF63" s="271"/>
      <c r="BG63" s="271"/>
      <c r="BH63" s="271"/>
      <c r="BI63" s="271"/>
      <c r="BJ63" s="271"/>
      <c r="BK63" s="271"/>
      <c r="BL63" s="271"/>
      <c r="BM63" s="271"/>
      <c r="BN63" s="271"/>
      <c r="BO63" s="271"/>
      <c r="BP63" s="271"/>
      <c r="BQ63" s="271"/>
      <c r="BR63" s="271"/>
      <c r="BS63" s="271"/>
      <c r="BT63" s="271"/>
      <c r="BU63" s="271"/>
      <c r="BV63" s="271"/>
      <c r="BW63" s="271"/>
      <c r="BX63" s="271"/>
      <c r="BY63" s="271"/>
      <c r="BZ63" s="271"/>
      <c r="CA63" s="271"/>
      <c r="CB63" s="271"/>
      <c r="CC63" s="271"/>
      <c r="CD63" s="271"/>
      <c r="CF63" s="83" t="str">
        <f>IF(Modulliste!A8=0,"",Modulliste!A8)</f>
        <v>BauerSolartechnik</v>
      </c>
      <c r="CG63" s="84" t="str">
        <f>IF(Modulliste!B8=0,"",Modulliste!B8)</f>
        <v>BS-340-6MHB5-EL</v>
      </c>
      <c r="CH63" s="84">
        <f>IF(Modulliste!C8=0,"",Modulliste!C8)</f>
        <v>340</v>
      </c>
      <c r="CI63" s="84">
        <f>IF(Modulliste!D8=0,"",Modulliste!D8)</f>
        <v>34.1</v>
      </c>
      <c r="CJ63" s="84">
        <f>IF(Modulliste!E8=0,"",Modulliste!E8)</f>
        <v>9.98</v>
      </c>
      <c r="CK63" s="84">
        <f>IF(Modulliste!F8=0,"",Modulliste!F8)</f>
        <v>41</v>
      </c>
      <c r="CL63" s="84">
        <f>IF(Modulliste!G8=0,"",Modulliste!G8)</f>
        <v>10.52</v>
      </c>
      <c r="CM63" s="84">
        <f>IF(Modulliste!H8=0,"",Modulliste!H8)</f>
        <v>-0.45</v>
      </c>
      <c r="CN63" s="84">
        <f>IF(Modulliste!I8=0,"",Modulliste!I8)</f>
        <v>-0.28999999999999998</v>
      </c>
      <c r="CO63" s="85">
        <f>IF(Modulliste!J8=0,"",Modulliste!J8)</f>
        <v>0.05</v>
      </c>
      <c r="CP63" s="51" t="str">
        <f ca="1">Modulliste!L8</f>
        <v>ALPHA ESS</v>
      </c>
      <c r="CQ63" s="51" t="str">
        <f t="array" ref="CQ63">IFERROR(INDEX($CG$57:$CG$86,SMALL(IF($CF$57:$CF$86=$H$29,ROW($1:$30)),CR63)),"")</f>
        <v/>
      </c>
      <c r="CR63" s="51">
        <v>7</v>
      </c>
    </row>
    <row r="64" spans="1:102" ht="15" customHeight="1" x14ac:dyDescent="0.2">
      <c r="A64" s="271"/>
      <c r="B64" s="271"/>
      <c r="C64" s="271"/>
      <c r="D64" s="271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1"/>
      <c r="S64" s="271"/>
      <c r="T64" s="271"/>
      <c r="U64" s="271"/>
      <c r="V64" s="271"/>
      <c r="W64" s="271"/>
      <c r="X64" s="271"/>
      <c r="Y64" s="271"/>
      <c r="Z64" s="271"/>
      <c r="AA64" s="271"/>
      <c r="AB64" s="271"/>
      <c r="AC64" s="271"/>
      <c r="AD64" s="271"/>
      <c r="AE64" s="271"/>
      <c r="AF64" s="271"/>
      <c r="AG64" s="271"/>
      <c r="AH64" s="271"/>
      <c r="AI64" s="271"/>
      <c r="AJ64" s="271"/>
      <c r="AK64" s="271"/>
      <c r="AL64" s="271"/>
      <c r="AM64" s="271"/>
      <c r="AN64" s="271"/>
      <c r="AO64" s="271"/>
      <c r="AP64" s="271"/>
      <c r="AQ64" s="271"/>
      <c r="AR64" s="271"/>
      <c r="AS64" s="271"/>
      <c r="AT64" s="271"/>
      <c r="AU64" s="271"/>
      <c r="AV64" s="271"/>
      <c r="AW64" s="271"/>
      <c r="AX64" s="271"/>
      <c r="AY64" s="271"/>
      <c r="AZ64" s="271"/>
      <c r="BA64" s="271"/>
      <c r="BB64" s="271"/>
      <c r="BC64" s="271"/>
      <c r="BD64" s="271"/>
      <c r="BE64" s="271"/>
      <c r="BF64" s="271"/>
      <c r="BG64" s="271"/>
      <c r="BH64" s="271"/>
      <c r="BI64" s="271"/>
      <c r="BJ64" s="271"/>
      <c r="BK64" s="271"/>
      <c r="BL64" s="271"/>
      <c r="BM64" s="271"/>
      <c r="BN64" s="271"/>
      <c r="BO64" s="271"/>
      <c r="BP64" s="271"/>
      <c r="BQ64" s="271"/>
      <c r="BR64" s="271"/>
      <c r="BS64" s="271"/>
      <c r="BT64" s="271"/>
      <c r="BU64" s="271"/>
      <c r="BV64" s="271"/>
      <c r="BW64" s="271"/>
      <c r="BX64" s="271"/>
      <c r="BY64" s="271"/>
      <c r="BZ64" s="271"/>
      <c r="CA64" s="271"/>
      <c r="CB64" s="271"/>
      <c r="CC64" s="271"/>
      <c r="CD64" s="271"/>
      <c r="CF64" s="80" t="str">
        <f>IF(Modulliste!A9=0,"",Modulliste!A9)</f>
        <v>BauerSolartechnik</v>
      </c>
      <c r="CG64" s="81" t="str">
        <f>IF(Modulliste!B9=0,"",Modulliste!B9)</f>
        <v>BS-365-6MHB5</v>
      </c>
      <c r="CH64" s="81">
        <f>IF(Modulliste!C9=0,"",Modulliste!C9)</f>
        <v>365</v>
      </c>
      <c r="CI64" s="81">
        <f>IF(Modulliste!D9=0,"",Modulliste!D9)</f>
        <v>34.200000000000003</v>
      </c>
      <c r="CJ64" s="81">
        <f>IF(Modulliste!E9=0,"",Modulliste!E9)</f>
        <v>10.68</v>
      </c>
      <c r="CK64" s="81">
        <f>IF(Modulliste!F9=0,"",Modulliste!F9)</f>
        <v>40.700000000000003</v>
      </c>
      <c r="CL64" s="81">
        <f>IF(Modulliste!G9=0,"",Modulliste!G9)</f>
        <v>11.43</v>
      </c>
      <c r="CM64" s="81">
        <f>IF(Modulliste!H9=0,"",Modulliste!H9)</f>
        <v>-0.35</v>
      </c>
      <c r="CN64" s="81">
        <f>IF(Modulliste!I9=0,"",Modulliste!I9)</f>
        <v>-0.27</v>
      </c>
      <c r="CO64" s="82">
        <f>IF(Modulliste!J9=0,"",Modulliste!J9)</f>
        <v>4.8000000000000001E-2</v>
      </c>
      <c r="CP64" s="51" t="str">
        <f ca="1">Modulliste!L9</f>
        <v/>
      </c>
      <c r="CQ64" s="51" t="str">
        <f t="array" ref="CQ64">IFERROR(INDEX($CG$57:$CG$86,SMALL(IF($CF$57:$CF$86=$H$29,ROW($1:$30)),CR64)),"")</f>
        <v/>
      </c>
      <c r="CR64" s="51">
        <v>8</v>
      </c>
    </row>
    <row r="65" spans="1:96" ht="15" customHeight="1" x14ac:dyDescent="0.2">
      <c r="A65" s="271"/>
      <c r="B65" s="271"/>
      <c r="C65" s="271"/>
      <c r="D65" s="271"/>
      <c r="E65" s="271"/>
      <c r="F65" s="271"/>
      <c r="G65" s="271"/>
      <c r="H65" s="271"/>
      <c r="I65" s="271"/>
      <c r="J65" s="271"/>
      <c r="K65" s="271"/>
      <c r="L65" s="271"/>
      <c r="M65" s="271"/>
      <c r="N65" s="271"/>
      <c r="O65" s="271"/>
      <c r="P65" s="271"/>
      <c r="Q65" s="271"/>
      <c r="R65" s="271"/>
      <c r="S65" s="271"/>
      <c r="T65" s="271"/>
      <c r="U65" s="271"/>
      <c r="V65" s="271"/>
      <c r="W65" s="271"/>
      <c r="X65" s="271"/>
      <c r="Y65" s="271"/>
      <c r="Z65" s="271"/>
      <c r="AA65" s="271"/>
      <c r="AB65" s="271"/>
      <c r="AC65" s="271"/>
      <c r="AD65" s="271"/>
      <c r="AE65" s="271"/>
      <c r="AF65" s="271"/>
      <c r="AG65" s="271"/>
      <c r="AH65" s="271"/>
      <c r="AI65" s="271"/>
      <c r="AJ65" s="271"/>
      <c r="AK65" s="271"/>
      <c r="AL65" s="271"/>
      <c r="AM65" s="271"/>
      <c r="AN65" s="271"/>
      <c r="AO65" s="271"/>
      <c r="AP65" s="271"/>
      <c r="AQ65" s="271"/>
      <c r="AR65" s="271"/>
      <c r="AS65" s="271"/>
      <c r="AT65" s="271"/>
      <c r="AU65" s="271"/>
      <c r="AV65" s="271"/>
      <c r="AW65" s="271"/>
      <c r="AX65" s="271"/>
      <c r="AY65" s="271"/>
      <c r="AZ65" s="271"/>
      <c r="BA65" s="271"/>
      <c r="BB65" s="271"/>
      <c r="BC65" s="271"/>
      <c r="BD65" s="271"/>
      <c r="BE65" s="271"/>
      <c r="BF65" s="271"/>
      <c r="BG65" s="271"/>
      <c r="BH65" s="271"/>
      <c r="BI65" s="271"/>
      <c r="BJ65" s="271"/>
      <c r="BK65" s="271"/>
      <c r="BL65" s="271"/>
      <c r="BM65" s="271"/>
      <c r="BN65" s="271"/>
      <c r="BO65" s="271"/>
      <c r="BP65" s="271"/>
      <c r="BQ65" s="271"/>
      <c r="BR65" s="271"/>
      <c r="BS65" s="271"/>
      <c r="BT65" s="271"/>
      <c r="BU65" s="271"/>
      <c r="BV65" s="271"/>
      <c r="BW65" s="271"/>
      <c r="BX65" s="271"/>
      <c r="BY65" s="271"/>
      <c r="BZ65" s="271"/>
      <c r="CA65" s="271"/>
      <c r="CB65" s="271"/>
      <c r="CC65" s="271"/>
      <c r="CD65" s="271"/>
      <c r="CF65" s="83" t="str">
        <f>IF(Modulliste!A10=0,"",Modulliste!A10)</f>
        <v>BauerSolartechnik</v>
      </c>
      <c r="CG65" s="84" t="str">
        <f>IF(Modulliste!B10=0,"",Modulliste!B10)</f>
        <v>BS-370-M6HBB-GG</v>
      </c>
      <c r="CH65" s="84">
        <f>IF(Modulliste!C10=0,"",Modulliste!C10)</f>
        <v>370</v>
      </c>
      <c r="CI65" s="84">
        <f>IF(Modulliste!D10=0,"",Modulliste!D10)</f>
        <v>34.5</v>
      </c>
      <c r="CJ65" s="84">
        <f>IF(Modulliste!E10=0,"",Modulliste!E10)</f>
        <v>10.73</v>
      </c>
      <c r="CK65" s="84">
        <f>IF(Modulliste!F10=0,"",Modulliste!F10)</f>
        <v>41.4</v>
      </c>
      <c r="CL65" s="84">
        <f>IF(Modulliste!G10=0,"",Modulliste!G10)</f>
        <v>11.36</v>
      </c>
      <c r="CM65" s="84">
        <f>IF(Modulliste!H10=0,"",Modulliste!H10)</f>
        <v>-0.32</v>
      </c>
      <c r="CN65" s="84">
        <f>IF(Modulliste!I10=0,"",Modulliste!I10)</f>
        <v>-0.26</v>
      </c>
      <c r="CO65" s="85">
        <f>IF(Modulliste!J10=0,"",Modulliste!J10)</f>
        <v>4.5999999999999999E-2</v>
      </c>
      <c r="CP65" s="51" t="str">
        <f ca="1">Modulliste!L10</f>
        <v/>
      </c>
      <c r="CQ65" s="51" t="str">
        <f t="array" ref="CQ65">IFERROR(INDEX($CG$57:$CG$86,SMALL(IF($CF$57:$CF$86=$H$29,ROW($1:$30)),CR65)),"")</f>
        <v/>
      </c>
      <c r="CR65" s="51">
        <v>9</v>
      </c>
    </row>
    <row r="66" spans="1:96" ht="15" customHeight="1" x14ac:dyDescent="0.2">
      <c r="CF66" s="80" t="str">
        <f>IF(Modulliste!A11=0,"",Modulliste!A11)</f>
        <v>BauerSolartechnik</v>
      </c>
      <c r="CG66" s="81" t="str">
        <f>IF(Modulliste!B11=0,"",Modulliste!B11)</f>
        <v>BS-370-6MBH5-EL</v>
      </c>
      <c r="CH66" s="81">
        <f>IF(Modulliste!C11=0,"",Modulliste!C11)</f>
        <v>370</v>
      </c>
      <c r="CI66" s="81">
        <f>IF(Modulliste!D11=0,"",Modulliste!D11)</f>
        <v>34.4</v>
      </c>
      <c r="CJ66" s="81">
        <f>IF(Modulliste!E11=0,"",Modulliste!E11)</f>
        <v>10.76</v>
      </c>
      <c r="CK66" s="81">
        <f>IF(Modulliste!F11=0,"",Modulliste!F11)</f>
        <v>40.9</v>
      </c>
      <c r="CL66" s="81">
        <f>IF(Modulliste!G11=0,"",Modulliste!G11)</f>
        <v>11.52</v>
      </c>
      <c r="CM66" s="81">
        <f>IF(Modulliste!H11=0,"",Modulliste!H11)</f>
        <v>-0.35</v>
      </c>
      <c r="CN66" s="81">
        <f>IF(Modulliste!I11=0,"",Modulliste!I11)</f>
        <v>-0.27</v>
      </c>
      <c r="CO66" s="82">
        <f>IF(Modulliste!J11=0,"",Modulliste!J11)</f>
        <v>4.8000000000000001E-2</v>
      </c>
      <c r="CP66" s="51" t="str">
        <f ca="1">Modulliste!L11</f>
        <v/>
      </c>
      <c r="CQ66" s="51" t="str">
        <f t="array" ref="CQ66">IFERROR(INDEX($CG$57:$CG$86,SMALL(IF($CF$57:$CF$86=$H$29,ROW($1:$30)),CR66)),"")</f>
        <v/>
      </c>
      <c r="CR66" s="51">
        <v>10</v>
      </c>
    </row>
    <row r="67" spans="1:96" ht="15" customHeight="1" x14ac:dyDescent="0.2">
      <c r="CF67" s="83" t="str">
        <f>IF(Modulliste!A12=0,"",Modulliste!A12)</f>
        <v>BauerSolartechnik</v>
      </c>
      <c r="CG67" s="84" t="str">
        <f>IF(Modulliste!B12=0,"",Modulliste!B12)</f>
        <v>BS-375-6MHB5</v>
      </c>
      <c r="CH67" s="84">
        <f>IF(Modulliste!C12=0,"",Modulliste!C12)</f>
        <v>375</v>
      </c>
      <c r="CI67" s="84">
        <f>IF(Modulliste!D12=0,"",Modulliste!D12)</f>
        <v>34.6</v>
      </c>
      <c r="CJ67" s="84">
        <f>IF(Modulliste!E12=0,"",Modulliste!E12)</f>
        <v>10.84</v>
      </c>
      <c r="CK67" s="84">
        <f>IF(Modulliste!F12=0,"",Modulliste!F12)</f>
        <v>41.1</v>
      </c>
      <c r="CL67" s="84">
        <f>IF(Modulliste!G12=0,"",Modulliste!G12)</f>
        <v>11.6</v>
      </c>
      <c r="CM67" s="84">
        <f>IF(Modulliste!H12=0,"",Modulliste!H12)</f>
        <v>-0.35</v>
      </c>
      <c r="CN67" s="84">
        <f>IF(Modulliste!I12=0,"",Modulliste!I12)</f>
        <v>-0.27</v>
      </c>
      <c r="CO67" s="85">
        <f>IF(Modulliste!J12=0,"",Modulliste!J12)</f>
        <v>4.8000000000000001E-2</v>
      </c>
      <c r="CP67" s="51" t="str">
        <f ca="1">Modulliste!L12</f>
        <v/>
      </c>
      <c r="CQ67" s="51" t="str">
        <f t="array" ref="CQ67">IFERROR(INDEX($CG$57:$CG$86,SMALL(IF($CF$57:$CF$86=$H$29,ROW($1:$30)),CR67)),"")</f>
        <v/>
      </c>
      <c r="CR67" s="51">
        <v>11</v>
      </c>
    </row>
    <row r="68" spans="1:96" ht="15" x14ac:dyDescent="0.2">
      <c r="E68" s="217"/>
      <c r="F68" s="217"/>
      <c r="CF68" s="80" t="str">
        <f>IF(Modulliste!A13=0,"",Modulliste!A13)</f>
        <v>BauerSolartechnik</v>
      </c>
      <c r="CG68" s="81" t="str">
        <f>IF(Modulliste!B13=0,"",Modulliste!B13)</f>
        <v>BS-380-M6HBB-GG</v>
      </c>
      <c r="CH68" s="81">
        <f>IF(Modulliste!C13=0,"",Modulliste!C13)</f>
        <v>380</v>
      </c>
      <c r="CI68" s="81">
        <f>IF(Modulliste!D13=0,"",Modulliste!D13)</f>
        <v>34.9</v>
      </c>
      <c r="CJ68" s="81">
        <f>IF(Modulliste!E13=0,"",Modulliste!E13)</f>
        <v>10.89</v>
      </c>
      <c r="CK68" s="81">
        <f>IF(Modulliste!F14=0,"",Modulliste!F14)</f>
        <v>37.36</v>
      </c>
      <c r="CL68" s="81">
        <f>IF(Modulliste!G13=0,"",Modulliste!G13)</f>
        <v>11.54</v>
      </c>
      <c r="CM68" s="81">
        <f>IF(Modulliste!H13=0,"",Modulliste!H13)</f>
        <v>-0.32</v>
      </c>
      <c r="CN68" s="81">
        <f>IF(Modulliste!I13=0,"",Modulliste!I13)</f>
        <v>-0.26</v>
      </c>
      <c r="CO68" s="82">
        <f>IF(Modulliste!J13=0,"",Modulliste!J13)</f>
        <v>4.5999999999999999E-2</v>
      </c>
      <c r="CP68" s="51" t="str">
        <f ca="1">Modulliste!L13</f>
        <v/>
      </c>
      <c r="CQ68" s="51" t="str">
        <f t="array" ref="CQ68">IFERROR(INDEX($CG$57:$CG$86,SMALL(IF($CF$57:$CF$86=$H$29,ROW($1:$30)),CR68)),"")</f>
        <v/>
      </c>
      <c r="CR68" s="51">
        <v>12</v>
      </c>
    </row>
    <row r="69" spans="1:96" ht="15" x14ac:dyDescent="0.2">
      <c r="CF69" s="83" t="str">
        <f>IF(Modulliste!A14=0,"",Modulliste!A14)</f>
        <v>BauerSolartechnik</v>
      </c>
      <c r="CG69" s="84" t="str">
        <f>IF(Modulliste!B14=0,"",Modulliste!B14)</f>
        <v>BS-405-M10HB</v>
      </c>
      <c r="CH69" s="84">
        <f>IF(Modulliste!C14=0,"",Modulliste!C14)</f>
        <v>405</v>
      </c>
      <c r="CI69" s="84">
        <f>IF(Modulliste!D14=0,"",Modulliste!D14)</f>
        <v>31.36</v>
      </c>
      <c r="CJ69" s="84">
        <f>IF(Modulliste!E14=0,"",Modulliste!E14)</f>
        <v>12.92</v>
      </c>
      <c r="CK69" s="84">
        <f>IF(Modulliste!F14=0,"",Modulliste!F14)</f>
        <v>37.36</v>
      </c>
      <c r="CL69" s="84">
        <f>IF(Modulliste!G14=0,"",Modulliste!G14)</f>
        <v>13.78</v>
      </c>
      <c r="CM69" s="84">
        <f>IF(Modulliste!H14=0,"",Modulliste!H14)</f>
        <v>-0.32</v>
      </c>
      <c r="CN69" s="84">
        <f>IF(Modulliste!I14=0,"",Modulliste!I14)</f>
        <v>-0.27</v>
      </c>
      <c r="CO69" s="85">
        <f>IF(Modulliste!J14=0,"",Modulliste!J14)</f>
        <v>4.8000000000000001E-2</v>
      </c>
      <c r="CP69" s="51" t="str">
        <f ca="1">Modulliste!L14</f>
        <v/>
      </c>
      <c r="CQ69" s="51" t="str">
        <f t="array" ref="CQ69">IFERROR(INDEX($CG$57:$CG$86,SMALL(IF($CF$57:$CF$86=$H$29,ROW($1:$30)),CR69)),"")</f>
        <v/>
      </c>
      <c r="CR69" s="51">
        <v>13</v>
      </c>
    </row>
    <row r="70" spans="1:96" ht="14.25" customHeight="1" x14ac:dyDescent="0.2">
      <c r="H70" s="217"/>
      <c r="I70" s="217"/>
      <c r="CF70" s="80" t="str">
        <f>IF(Modulliste!A15=0,"",Modulliste!A15)</f>
        <v>BauerSolartechnik</v>
      </c>
      <c r="CG70" s="81" t="str">
        <f>IF(Modulliste!B15=0,"",Modulliste!B15)</f>
        <v>BS-108M10HBB-GG</v>
      </c>
      <c r="CH70" s="81">
        <f>IF(Modulliste!C15=0,"",Modulliste!C15)</f>
        <v>420</v>
      </c>
      <c r="CI70" s="81">
        <f>IF(Modulliste!D15=0,"",Modulliste!D15)</f>
        <v>31.52</v>
      </c>
      <c r="CJ70" s="81">
        <f>IF(Modulliste!E15=0,"",Modulliste!E15)</f>
        <v>13.32</v>
      </c>
      <c r="CK70" s="81">
        <f>IF(Modulliste!F15=0,"",Modulliste!F15)</f>
        <v>38.11</v>
      </c>
      <c r="CL70" s="81">
        <f>IF(Modulliste!G15=0,"",Modulliste!G15)</f>
        <v>14.07</v>
      </c>
      <c r="CM70" s="81">
        <f>IF(Modulliste!H15=0,"",Modulliste!H15)</f>
        <v>-0.3</v>
      </c>
      <c r="CN70" s="81">
        <f>IF(Modulliste!I15=0,"",Modulliste!I15)</f>
        <v>-0.26</v>
      </c>
      <c r="CO70" s="82">
        <f>IF(Modulliste!J15=0,"",Modulliste!J15)</f>
        <v>4.8000000000000001E-2</v>
      </c>
      <c r="CP70" s="51" t="str">
        <f ca="1">Modulliste!L15</f>
        <v/>
      </c>
      <c r="CQ70" s="51" t="str">
        <f t="array" ref="CQ70">IFERROR(INDEX($CG$57:$CG$86,SMALL(IF($CF$57:$CF$86=$H$29,ROW($1:$30)),CR70)),"")</f>
        <v/>
      </c>
      <c r="CR70" s="51">
        <v>14</v>
      </c>
    </row>
    <row r="71" spans="1:96" ht="15" customHeight="1" x14ac:dyDescent="0.2">
      <c r="CF71" s="83" t="str">
        <f>IF(Modulliste!A16=0,"",Modulliste!A16)</f>
        <v>Solyco</v>
      </c>
      <c r="CG71" s="84" t="str">
        <f>IF(Modulliste!B16=0,"",Modulliste!B16)</f>
        <v>R-WG 120n/340</v>
      </c>
      <c r="CH71" s="84">
        <f>IF(Modulliste!C16=0,"",Modulliste!C16)</f>
        <v>340</v>
      </c>
      <c r="CI71" s="84">
        <f>IF(Modulliste!D16=0,"",Modulliste!D16)</f>
        <v>34.130000000000003</v>
      </c>
      <c r="CJ71" s="84">
        <f>IF(Modulliste!E16=0,"",Modulliste!E16)</f>
        <v>9.9600000000000009</v>
      </c>
      <c r="CK71" s="84">
        <f>IF(Modulliste!F16=0,"",Modulliste!F16)</f>
        <v>41.35</v>
      </c>
      <c r="CL71" s="84">
        <f>IF(Modulliste!G16=0,"",Modulliste!G16)</f>
        <v>10.4</v>
      </c>
      <c r="CM71" s="84">
        <f>IF(Modulliste!H16=0,"",Modulliste!H16)</f>
        <v>-0.35</v>
      </c>
      <c r="CN71" s="84">
        <f>IF(Modulliste!I16=0,"",Modulliste!I16)</f>
        <v>-0.3</v>
      </c>
      <c r="CO71" s="85">
        <f>IF(Modulliste!J16=0,"",Modulliste!J16)</f>
        <v>4.5999999999999999E-2</v>
      </c>
      <c r="CP71" s="51" t="str">
        <f ca="1">Modulliste!L16</f>
        <v/>
      </c>
      <c r="CQ71" s="51" t="str">
        <f t="array" ref="CQ71">IFERROR(INDEX($CG$57:$CG$86,SMALL(IF($CF$57:$CF$86=$H$29,ROW($1:$30)),CR71)),"")</f>
        <v/>
      </c>
      <c r="CR71" s="51">
        <v>15</v>
      </c>
    </row>
    <row r="72" spans="1:96" ht="14.25" customHeight="1" x14ac:dyDescent="0.2">
      <c r="CF72" s="80" t="str">
        <f>IF(Modulliste!A17=0,"",Modulliste!A17)</f>
        <v>Solyco</v>
      </c>
      <c r="CG72" s="81" t="str">
        <f>IF(Modulliste!B17=0,"",Modulliste!B17)</f>
        <v>R-BG 120n/340</v>
      </c>
      <c r="CH72" s="81">
        <f>IF(Modulliste!C17=0,"",Modulliste!C17)</f>
        <v>340</v>
      </c>
      <c r="CI72" s="81">
        <f>IF(Modulliste!D17=0,"",Modulliste!D17)</f>
        <v>34.130000000000003</v>
      </c>
      <c r="CJ72" s="81">
        <f>IF(Modulliste!E17=0,"",Modulliste!E17)</f>
        <v>9.9600000000000009</v>
      </c>
      <c r="CK72" s="81">
        <f>IF(Modulliste!F17=0,"",Modulliste!F17)</f>
        <v>41.35</v>
      </c>
      <c r="CL72" s="81">
        <f>IF(Modulliste!G17=0,"",Modulliste!G17)</f>
        <v>10.4</v>
      </c>
      <c r="CM72" s="81">
        <f>IF(Modulliste!H17=0,"",Modulliste!H17)</f>
        <v>-0.35</v>
      </c>
      <c r="CN72" s="81">
        <f>IF(Modulliste!I17=0,"",Modulliste!I17)</f>
        <v>-0.3</v>
      </c>
      <c r="CO72" s="82">
        <f>IF(Modulliste!J17=0,"",Modulliste!J17)</f>
        <v>4.8000000000000001E-2</v>
      </c>
      <c r="CP72" s="51" t="str">
        <f ca="1">Modulliste!L17</f>
        <v/>
      </c>
      <c r="CQ72" s="51" t="str">
        <f t="array" ref="CQ72">IFERROR(INDEX($CG$57:$CG$86,SMALL(IF($CF$57:$CF$86=$H$29,ROW($1:$30)),CR72)),"")</f>
        <v/>
      </c>
      <c r="CR72" s="51">
        <v>16</v>
      </c>
    </row>
    <row r="73" spans="1:96" ht="14.25" customHeight="1" x14ac:dyDescent="0.2">
      <c r="CF73" s="83" t="str">
        <f>IF(Modulliste!A18=0,"",Modulliste!A18)</f>
        <v>Solyco</v>
      </c>
      <c r="CG73" s="84" t="str">
        <f>IF(Modulliste!B18=0,"",Modulliste!B18)</f>
        <v>R-TG 120n/340</v>
      </c>
      <c r="CH73" s="84">
        <f>IF(Modulliste!C18=0,"",Modulliste!C18)</f>
        <v>340</v>
      </c>
      <c r="CI73" s="84">
        <f>IF(Modulliste!D18=0,"",Modulliste!D18)</f>
        <v>34.130000000000003</v>
      </c>
      <c r="CJ73" s="84">
        <f>IF(Modulliste!E18=0,"",Modulliste!E18)</f>
        <v>9.9600000000000009</v>
      </c>
      <c r="CK73" s="84">
        <f>IF(Modulliste!F18=0,"",Modulliste!F18)</f>
        <v>41.35</v>
      </c>
      <c r="CL73" s="84">
        <f>IF(Modulliste!G18=0,"",Modulliste!G18)</f>
        <v>10.4</v>
      </c>
      <c r="CM73" s="84">
        <f>IF(Modulliste!H18=0,"",Modulliste!H18)</f>
        <v>-0.35</v>
      </c>
      <c r="CN73" s="84">
        <f>IF(Modulliste!I18=0,"",Modulliste!I18)</f>
        <v>-0.3</v>
      </c>
      <c r="CO73" s="85">
        <f>IF(Modulliste!J18=0,"",Modulliste!J18)</f>
        <v>4.8000000000000001E-2</v>
      </c>
      <c r="CP73" s="51" t="str">
        <f ca="1">Modulliste!L18</f>
        <v/>
      </c>
      <c r="CQ73" s="51" t="str">
        <f t="array" ref="CQ73">IFERROR(INDEX($CG$57:$CG$86,SMALL(IF($CF$57:$CF$86=$H$29,ROW($1:$30)),CR73)),"")</f>
        <v/>
      </c>
      <c r="CR73" s="51">
        <v>17</v>
      </c>
    </row>
    <row r="74" spans="1:96" ht="14.25" customHeight="1" x14ac:dyDescent="0.2">
      <c r="CF74" s="80" t="str">
        <f>IF(Modulliste!A19=0,"",Modulliste!A19)</f>
        <v>Solyco</v>
      </c>
      <c r="CG74" s="81" t="str">
        <f>IF(Modulliste!B19=0,"",Modulliste!B19)</f>
        <v>R-BF 120p.2/365</v>
      </c>
      <c r="CH74" s="81">
        <f>IF(Modulliste!C19=0,"",Modulliste!C19)</f>
        <v>365</v>
      </c>
      <c r="CI74" s="81">
        <f>IF(Modulliste!D19=0,"",Modulliste!D19)</f>
        <v>33.9</v>
      </c>
      <c r="CJ74" s="81">
        <f>IF(Modulliste!E19=0,"",Modulliste!E19)</f>
        <v>10.77</v>
      </c>
      <c r="CK74" s="81">
        <f>IF(Modulliste!F19=0,"",Modulliste!F19)</f>
        <v>41.1</v>
      </c>
      <c r="CL74" s="81">
        <f>IF(Modulliste!G19=0,"",Modulliste!G19)</f>
        <v>11.28</v>
      </c>
      <c r="CM74" s="81">
        <f>IF(Modulliste!H19=0,"",Modulliste!H19)</f>
        <v>-0.36</v>
      </c>
      <c r="CN74" s="81">
        <f>IF(Modulliste!I19=0,"",Modulliste!I19)</f>
        <v>-0.28000000000000003</v>
      </c>
      <c r="CO74" s="82">
        <f>IF(Modulliste!J19=0,"",Modulliste!J19)</f>
        <v>0.05</v>
      </c>
      <c r="CP74" s="51" t="str">
        <f ca="1">Modulliste!L19</f>
        <v/>
      </c>
      <c r="CQ74" s="51" t="str">
        <f t="array" ref="CQ74">IFERROR(INDEX($CG$57:$CG$86,SMALL(IF($CF$57:$CF$86=$H$29,ROW($1:$30)),CR74)),"")</f>
        <v/>
      </c>
      <c r="CR74" s="51">
        <v>18</v>
      </c>
    </row>
    <row r="75" spans="1:96" ht="15" customHeight="1" x14ac:dyDescent="0.2">
      <c r="CF75" s="83" t="str">
        <f>IF(Modulliste!A20=0,"",Modulliste!A20)</f>
        <v>Solyco</v>
      </c>
      <c r="CG75" s="84" t="str">
        <f>IF(Modulliste!B20=0,"",Modulliste!B20)</f>
        <v>R-TG 120n/340 bifazial</v>
      </c>
      <c r="CH75" s="84">
        <f>IF(Modulliste!C20=0,"",Modulliste!C20)</f>
        <v>340</v>
      </c>
      <c r="CI75" s="84">
        <f>IF(Modulliste!D20=0,"",Modulliste!D20)</f>
        <v>34.130000000000003</v>
      </c>
      <c r="CJ75" s="84">
        <f>IF(Modulliste!E20=0,"",Modulliste!E20)</f>
        <v>9.9600000000000009</v>
      </c>
      <c r="CK75" s="84">
        <f>IF(Modulliste!F20=0,"",Modulliste!F20)</f>
        <v>41.35</v>
      </c>
      <c r="CL75" s="84">
        <f>IF(Modulliste!G20=0,"",Modulliste!G20)</f>
        <v>10.4</v>
      </c>
      <c r="CM75" s="84">
        <f>IF(Modulliste!H20=0,"",Modulliste!H20)</f>
        <v>-0.35</v>
      </c>
      <c r="CN75" s="84">
        <f>IF(Modulliste!I20=0,"",Modulliste!I20)</f>
        <v>-0.3</v>
      </c>
      <c r="CO75" s="85">
        <f>IF(Modulliste!J20=0,"",Modulliste!J20)</f>
        <v>4.8000000000000001E-2</v>
      </c>
      <c r="CP75" s="51" t="str">
        <f ca="1">Modulliste!L20</f>
        <v/>
      </c>
      <c r="CQ75" s="51" t="str">
        <f t="array" ref="CQ75">IFERROR(INDEX($CG$57:$CG$86,SMALL(IF($CF$57:$CF$86=$H$29,ROW($1:$30)),CR75)),"")</f>
        <v/>
      </c>
      <c r="CR75" s="51">
        <v>19</v>
      </c>
    </row>
    <row r="76" spans="1:96" ht="15" customHeight="1" x14ac:dyDescent="0.2">
      <c r="CF76" s="80" t="str">
        <f>IF(Modulliste!A21=0,"",Modulliste!A21)</f>
        <v>Solyco</v>
      </c>
      <c r="CG76" s="81" t="str">
        <f>IF(Modulliste!B21=0,"",Modulliste!B21)</f>
        <v>R-WF 108p.3/400</v>
      </c>
      <c r="CH76" s="81">
        <f>IF(Modulliste!C21=0,"",Modulliste!C21)</f>
        <v>400</v>
      </c>
      <c r="CI76" s="81">
        <f>IF(Modulliste!D21=0,"",Modulliste!D21)</f>
        <v>30.82</v>
      </c>
      <c r="CJ76" s="81">
        <f>IF(Modulliste!E21=0,"",Modulliste!E21)</f>
        <v>12.94</v>
      </c>
      <c r="CK76" s="81">
        <f>IF(Modulliste!F21=0,"",Modulliste!F21)</f>
        <v>36.94</v>
      </c>
      <c r="CL76" s="81">
        <f>IF(Modulliste!G21=0,"",Modulliste!G21)</f>
        <v>13.6</v>
      </c>
      <c r="CM76" s="81">
        <f>IF(Modulliste!H21=0,"",Modulliste!H21)</f>
        <v>-0.36</v>
      </c>
      <c r="CN76" s="81">
        <f>IF(Modulliste!I21=0,"",Modulliste!I21)</f>
        <v>-0.28000000000000003</v>
      </c>
      <c r="CO76" s="82">
        <f>IF(Modulliste!J21=0,"",Modulliste!J21)</f>
        <v>0.05</v>
      </c>
      <c r="CP76" s="51" t="str">
        <f ca="1">Modulliste!L21</f>
        <v/>
      </c>
      <c r="CQ76" s="51" t="str">
        <f t="array" ref="CQ76">IFERROR(INDEX($CG$57:$CG$86,SMALL(IF($CF$57:$CF$86=$H$29,ROW($1:$30)),CR76)),"")</f>
        <v/>
      </c>
      <c r="CR76" s="51">
        <v>20</v>
      </c>
    </row>
    <row r="77" spans="1:96" ht="15" customHeight="1" x14ac:dyDescent="0.2">
      <c r="CF77" s="83" t="str">
        <f>IF(Modulliste!A22=0,"",Modulliste!A22)</f>
        <v>Solyco</v>
      </c>
      <c r="CG77" s="84" t="str">
        <f>IF(Modulliste!B22=0,"",Modulliste!B22)</f>
        <v>R-WF 120p./370</v>
      </c>
      <c r="CH77" s="84">
        <f>IF(Modulliste!C22=0,"",Modulliste!C22)</f>
        <v>370</v>
      </c>
      <c r="CI77" s="84">
        <f>IF(Modulliste!D22=0,"",Modulliste!D22)</f>
        <v>34.01</v>
      </c>
      <c r="CJ77" s="84">
        <f>IF(Modulliste!E22=0,"",Modulliste!E22)</f>
        <v>10.8</v>
      </c>
      <c r="CK77" s="84">
        <f>IF(Modulliste!F22=0,"",Modulliste!F22)</f>
        <v>40.81</v>
      </c>
      <c r="CL77" s="84">
        <f>IF(Modulliste!G22=0,"",Modulliste!G22)</f>
        <v>11.33</v>
      </c>
      <c r="CM77" s="84">
        <f>IF(Modulliste!H22=0,"",Modulliste!H22)</f>
        <v>-0.38</v>
      </c>
      <c r="CN77" s="84">
        <f>IF(Modulliste!I22=0,"",Modulliste!I22)</f>
        <v>-0.31</v>
      </c>
      <c r="CO77" s="85">
        <f>IF(Modulliste!J22=0,"",Modulliste!J22)</f>
        <v>4.8000000000000001E-2</v>
      </c>
      <c r="CP77" s="51" t="str">
        <f ca="1">Modulliste!L22</f>
        <v/>
      </c>
      <c r="CQ77" s="51" t="str">
        <f t="array" ref="CQ77">IFERROR(INDEX($CG$57:$CG$86,SMALL(IF($CF$57:$CF$86=$H$29,ROW($1:$30)),CR77)),"")</f>
        <v/>
      </c>
      <c r="CR77" s="51">
        <v>21</v>
      </c>
    </row>
    <row r="78" spans="1:96" ht="14.25" customHeight="1" x14ac:dyDescent="0.2">
      <c r="CD78" s="149"/>
      <c r="CE78" s="150"/>
      <c r="CF78" s="80" t="str">
        <f>IF(Modulliste!A23=0,"",Modulliste!A23)</f>
        <v>SolarFabrik</v>
      </c>
      <c r="CG78" s="81" t="str">
        <f>IF(Modulliste!B23=0,"",Modulliste!B23)</f>
        <v>Mono S3 - Halfcut 375</v>
      </c>
      <c r="CH78" s="81">
        <f>IF(Modulliste!C23=0,"",Modulliste!C23)</f>
        <v>375</v>
      </c>
      <c r="CI78" s="81">
        <f>IF(Modulliste!D23=0,"",Modulliste!D23)</f>
        <v>34.6</v>
      </c>
      <c r="CJ78" s="81">
        <f>IF(Modulliste!E23=0,"",Modulliste!E23)</f>
        <v>10.84</v>
      </c>
      <c r="CK78" s="81">
        <f>IF(Modulliste!F23=0,"",Modulliste!F23)</f>
        <v>41.1</v>
      </c>
      <c r="CL78" s="81">
        <f>IF(Modulliste!G23=0,"",Modulliste!G23)</f>
        <v>11.6</v>
      </c>
      <c r="CM78" s="81">
        <f>IF(Modulliste!H23=0,"",Modulliste!H23)</f>
        <v>-0.35</v>
      </c>
      <c r="CN78" s="81">
        <f>IF(Modulliste!I23=0,"",Modulliste!I23)</f>
        <v>-0.27</v>
      </c>
      <c r="CO78" s="82">
        <f>IF(Modulliste!J23=0,"",Modulliste!J23)</f>
        <v>4.8000000000000001E-2</v>
      </c>
      <c r="CP78" s="51" t="str">
        <f ca="1">Modulliste!L23</f>
        <v/>
      </c>
      <c r="CQ78" s="51" t="str">
        <f t="array" ref="CQ78">IFERROR(INDEX($CG$57:$CG$86,SMALL(IF($CF$57:$CF$86=$H$29,ROW($1:$30)),CR78)),"")</f>
        <v/>
      </c>
      <c r="CR78" s="51">
        <v>22</v>
      </c>
    </row>
    <row r="79" spans="1:96" ht="14.25" customHeight="1" x14ac:dyDescent="0.2">
      <c r="CF79" s="83" t="str">
        <f>IF(Modulliste!A24=0,"",Modulliste!A24)</f>
        <v>SolarFabrik</v>
      </c>
      <c r="CG79" s="84" t="str">
        <f>IF(Modulliste!B24=0,"",Modulliste!B24)</f>
        <v>Mono S4 - Halfcut 395</v>
      </c>
      <c r="CH79" s="84">
        <f>IF(Modulliste!C24=0,"",Modulliste!C24)</f>
        <v>395</v>
      </c>
      <c r="CI79" s="84">
        <f>IF(Modulliste!D24=0,"",Modulliste!D24)</f>
        <v>31.03</v>
      </c>
      <c r="CJ79" s="84">
        <f>IF(Modulliste!E24=0,"",Modulliste!E24)</f>
        <v>12.73</v>
      </c>
      <c r="CK79" s="84">
        <f>IF(Modulliste!F24=0,"",Modulliste!F24)</f>
        <v>36.93</v>
      </c>
      <c r="CL79" s="84">
        <f>IF(Modulliste!G24=0,"",Modulliste!G24)</f>
        <v>13.48</v>
      </c>
      <c r="CM79" s="84">
        <f>IF(Modulliste!H24=0,"",Modulliste!H24)</f>
        <v>-0.39</v>
      </c>
      <c r="CN79" s="84">
        <f>IF(Modulliste!I24=0,"",Modulliste!I24)</f>
        <v>-0.29499999999999998</v>
      </c>
      <c r="CO79" s="85">
        <f>IF(Modulliste!J24=0,"",Modulliste!J24)</f>
        <v>3.9E-2</v>
      </c>
      <c r="CP79" s="51" t="str">
        <f ca="1">Modulliste!L24</f>
        <v/>
      </c>
      <c r="CQ79" s="51" t="str">
        <f t="array" ref="CQ79">IFERROR(INDEX($CG$57:$CG$86,SMALL(IF($CF$57:$CF$86=$H$29,ROW($1:$30)),CR79)),"")</f>
        <v/>
      </c>
      <c r="CR79" s="51">
        <v>23</v>
      </c>
    </row>
    <row r="80" spans="1:96" ht="14.25" customHeight="1" x14ac:dyDescent="0.2">
      <c r="CF80" s="80" t="str">
        <f>IF(Modulliste!A25=0,"",Modulliste!A25)</f>
        <v>Trina Solar</v>
      </c>
      <c r="CG80" s="81" t="str">
        <f>IF(Modulliste!B25=0,"",Modulliste!B25)</f>
        <v>Vertex S 405</v>
      </c>
      <c r="CH80" s="81">
        <f>IF(Modulliste!C25=0,"",Modulliste!C25)</f>
        <v>405</v>
      </c>
      <c r="CI80" s="81">
        <f>IF(Modulliste!D25=0,"",Modulliste!D25)</f>
        <v>34.4</v>
      </c>
      <c r="CJ80" s="81">
        <f>IF(Modulliste!E25=0,"",Modulliste!E25)</f>
        <v>11.77</v>
      </c>
      <c r="CK80" s="81">
        <f>IF(Modulliste!F25=0,"",Modulliste!F25)</f>
        <v>41.4</v>
      </c>
      <c r="CL80" s="81">
        <f>IF(Modulliste!G25=0,"",Modulliste!G25)</f>
        <v>12.34</v>
      </c>
      <c r="CM80" s="81">
        <f>IF(Modulliste!H25=0,"",Modulliste!H25)</f>
        <v>-0.34</v>
      </c>
      <c r="CN80" s="81">
        <f>IF(Modulliste!I25=0,"",Modulliste!I25)</f>
        <v>-0.25</v>
      </c>
      <c r="CO80" s="82">
        <f>IF(Modulliste!J25=0,"",Modulliste!J25)</f>
        <v>0.04</v>
      </c>
      <c r="CP80" s="51" t="str">
        <f ca="1">Modulliste!L25</f>
        <v/>
      </c>
      <c r="CQ80" s="51" t="str">
        <f t="array" ref="CQ80">IFERROR(INDEX($CG$57:$CG$86,SMALL(IF($CF$57:$CF$86=$H$29,ROW($1:$30)),CR80)),"")</f>
        <v/>
      </c>
      <c r="CR80" s="51">
        <v>24</v>
      </c>
    </row>
    <row r="81" spans="84:96" ht="15" customHeight="1" x14ac:dyDescent="0.2">
      <c r="CF81" s="83" t="str">
        <f>IF(Modulliste!A26=0,"",Modulliste!A26)</f>
        <v>Sunpro</v>
      </c>
      <c r="CG81" s="84" t="str">
        <f>IF(Modulliste!B26=0,"",Modulliste!B26)</f>
        <v>M10 HIEFF</v>
      </c>
      <c r="CH81" s="84">
        <f>IF(Modulliste!C26=0,"",Modulliste!C26)</f>
        <v>410</v>
      </c>
      <c r="CI81" s="84">
        <f>IF(Modulliste!D26=0,"",Modulliste!D26)</f>
        <v>31.25</v>
      </c>
      <c r="CJ81" s="84">
        <f>IF(Modulliste!E26=0,"",Modulliste!E26)</f>
        <v>13.12</v>
      </c>
      <c r="CK81" s="84">
        <f>IF(Modulliste!F26=0,"",Modulliste!F26)</f>
        <v>37.33</v>
      </c>
      <c r="CL81" s="84">
        <f>IF(Modulliste!G26=0,"",Modulliste!G26)</f>
        <v>13.9</v>
      </c>
      <c r="CM81" s="84">
        <f>IF(Modulliste!H26=0,"",Modulliste!H26)</f>
        <v>-0.34</v>
      </c>
      <c r="CN81" s="84">
        <f>IF(Modulliste!I26=0,"",Modulliste!I26)</f>
        <v>-0.28999999999999998</v>
      </c>
      <c r="CO81" s="85">
        <f>IF(Modulliste!J26=0,"",Modulliste!J26)</f>
        <v>0.05</v>
      </c>
      <c r="CP81" s="51" t="str">
        <f ca="1">Modulliste!L26</f>
        <v/>
      </c>
      <c r="CQ81" s="51" t="str">
        <f t="array" ref="CQ81">IFERROR(INDEX($CG$57:$CG$86,SMALL(IF($CF$57:$CF$86=$H$29,ROW($1:$30)),CR81)),"")</f>
        <v/>
      </c>
      <c r="CR81" s="51">
        <v>25</v>
      </c>
    </row>
    <row r="82" spans="84:96" ht="15" customHeight="1" x14ac:dyDescent="0.2">
      <c r="CF82" s="80" t="str">
        <f>IF(Modulliste!A27=0,"",Modulliste!A27)</f>
        <v xml:space="preserve">Canadian </v>
      </c>
      <c r="CG82" s="81" t="str">
        <f>IF(Modulliste!B27=0,"",Modulliste!B27)</f>
        <v>CS6R-420-440T</v>
      </c>
      <c r="CH82" s="81">
        <f>IF(Modulliste!C27=0,"",Modulliste!C27)</f>
        <v>440</v>
      </c>
      <c r="CI82" s="81">
        <f>IF(Modulliste!D27=0,"",Modulliste!D27)</f>
        <v>32.4</v>
      </c>
      <c r="CJ82" s="81">
        <f>IF(Modulliste!E27=0,"",Modulliste!E27)</f>
        <v>13.59</v>
      </c>
      <c r="CK82" s="81">
        <f>IF(Modulliste!F27=0,"",Modulliste!F27)</f>
        <v>39.4</v>
      </c>
      <c r="CL82" s="81">
        <f>IF(Modulliste!G27=0,"",Modulliste!G27)</f>
        <v>14.01</v>
      </c>
      <c r="CM82" s="81">
        <f>IF(Modulliste!H27=0,"",Modulliste!H27)</f>
        <v>-0.28999999999999998</v>
      </c>
      <c r="CN82" s="81">
        <f>IF(Modulliste!I27=0,"",Modulliste!I27)</f>
        <v>-0.25</v>
      </c>
      <c r="CO82" s="82">
        <f>IF(Modulliste!J27=0,"",Modulliste!J27)</f>
        <v>0.05</v>
      </c>
      <c r="CP82" s="51" t="str">
        <f ca="1">Modulliste!L27</f>
        <v/>
      </c>
      <c r="CQ82" s="51" t="str">
        <f t="array" ref="CQ82">IFERROR(INDEX($CG$57:$CG$86,SMALL(IF($CF$57:$CF$86=$H$29,ROW($1:$30)),CR82)),"")</f>
        <v/>
      </c>
      <c r="CR82" s="51">
        <v>26</v>
      </c>
    </row>
    <row r="83" spans="84:96" ht="15.75" customHeight="1" x14ac:dyDescent="0.2">
      <c r="CF83" s="83" t="str">
        <f>IF(Modulliste!A28=0,"",Modulliste!A28)</f>
        <v>ALPHA ESS</v>
      </c>
      <c r="CG83" s="84" t="str">
        <f>IF(Modulliste!B28=0,"",Modulliste!B28)</f>
        <v>Eversol DS440</v>
      </c>
      <c r="CH83" s="84">
        <f>IF(Modulliste!C28=0,"",Modulliste!C28)</f>
        <v>440</v>
      </c>
      <c r="CI83" s="84">
        <f>IF(Modulliste!D28=0,"",Modulliste!D28)</f>
        <v>30.42</v>
      </c>
      <c r="CJ83" s="84">
        <f>IF(Modulliste!E28=0,"",Modulliste!E28)</f>
        <v>14.47</v>
      </c>
      <c r="CK83" s="84">
        <f>IF(Modulliste!F28=0,"",Modulliste!F28)</f>
        <v>36.24</v>
      </c>
      <c r="CL83" s="84">
        <f>IF(Modulliste!G28=0,"",Modulliste!G28)</f>
        <v>15.17</v>
      </c>
      <c r="CM83" s="84">
        <f>IF(Modulliste!H28=0,"",Modulliste!H28)</f>
        <v>-0.24</v>
      </c>
      <c r="CN83" s="84">
        <f>IF(Modulliste!I28=0,"",Modulliste!I28)</f>
        <v>-0.24</v>
      </c>
      <c r="CO83" s="85">
        <f>IF(Modulliste!J28=0,"",Modulliste!J28)</f>
        <v>0.04</v>
      </c>
      <c r="CP83" s="51" t="str">
        <f ca="1">Modulliste!L28</f>
        <v/>
      </c>
      <c r="CQ83" s="51" t="str">
        <f t="array" ref="CQ83">IFERROR(INDEX($CG$57:$CG$86,SMALL(IF($CF$57:$CF$86=$H$29,ROW($1:$30)),CR83)),"")</f>
        <v/>
      </c>
      <c r="CR83" s="51">
        <v>27</v>
      </c>
    </row>
    <row r="84" spans="84:96" ht="15" customHeight="1" x14ac:dyDescent="0.2">
      <c r="CF84" s="80" t="str">
        <f>IF(Modulliste!A29=0,"",Modulliste!A29)</f>
        <v/>
      </c>
      <c r="CG84" s="81" t="str">
        <f>IF(Modulliste!B29=0,"",Modulliste!B29)</f>
        <v/>
      </c>
      <c r="CH84" s="81" t="str">
        <f>IF(Modulliste!C29=0,"",Modulliste!C29)</f>
        <v/>
      </c>
      <c r="CI84" s="81" t="str">
        <f>IF(Modulliste!D29=0,"",Modulliste!D29)</f>
        <v/>
      </c>
      <c r="CJ84" s="81" t="str">
        <f>IF(Modulliste!E29=0,"",Modulliste!E29)</f>
        <v/>
      </c>
      <c r="CK84" s="81" t="str">
        <f>IF(Modulliste!F29=0,"",Modulliste!F29)</f>
        <v/>
      </c>
      <c r="CL84" s="81" t="str">
        <f>IF(Modulliste!G29=0,"",Modulliste!G29)</f>
        <v/>
      </c>
      <c r="CM84" s="81" t="str">
        <f>IF(Modulliste!H29=0,"",Modulliste!H29)</f>
        <v/>
      </c>
      <c r="CN84" s="81" t="str">
        <f>IF(Modulliste!I29=0,"",Modulliste!I29)</f>
        <v/>
      </c>
      <c r="CO84" s="82" t="str">
        <f>IF(Modulliste!J29=0,"",Modulliste!J29)</f>
        <v/>
      </c>
      <c r="CP84" s="51" t="str">
        <f ca="1">Modulliste!L29</f>
        <v/>
      </c>
      <c r="CQ84" s="51" t="str">
        <f t="array" ref="CQ84">IFERROR(INDEX($CG$57:$CG$86,SMALL(IF($CF$57:$CF$86=$H$29,ROW($1:$30)),CR84)),"")</f>
        <v/>
      </c>
      <c r="CR84" s="51">
        <v>28</v>
      </c>
    </row>
    <row r="85" spans="84:96" ht="14.25" customHeight="1" x14ac:dyDescent="0.2">
      <c r="CF85" s="83" t="str">
        <f>IF(Modulliste!A30=0,"",Modulliste!A30)</f>
        <v/>
      </c>
      <c r="CG85" s="84" t="str">
        <f>IF(Modulliste!B30=0,"",Modulliste!B30)</f>
        <v/>
      </c>
      <c r="CH85" s="84" t="str">
        <f>IF(Modulliste!C30=0,"",Modulliste!C30)</f>
        <v/>
      </c>
      <c r="CI85" s="84" t="str">
        <f>IF(Modulliste!D30=0,"",Modulliste!D30)</f>
        <v/>
      </c>
      <c r="CJ85" s="84" t="str">
        <f>IF(Modulliste!E30=0,"",Modulliste!E30)</f>
        <v/>
      </c>
      <c r="CK85" s="84" t="str">
        <f>IF(Modulliste!F30=0,"",Modulliste!F30)</f>
        <v/>
      </c>
      <c r="CL85" s="84" t="str">
        <f>IF(Modulliste!G30=0,"",Modulliste!G30)</f>
        <v/>
      </c>
      <c r="CM85" s="84" t="str">
        <f>IF(Modulliste!H30=0,"",Modulliste!H30)</f>
        <v/>
      </c>
      <c r="CN85" s="84" t="str">
        <f>IF(Modulliste!I30=0,"",Modulliste!I30)</f>
        <v/>
      </c>
      <c r="CO85" s="85" t="str">
        <f>IF(Modulliste!J30=0,"",Modulliste!J30)</f>
        <v/>
      </c>
      <c r="CP85" s="51" t="str">
        <f ca="1">Modulliste!L30</f>
        <v/>
      </c>
      <c r="CQ85" s="51" t="str">
        <f t="array" ref="CQ85">IFERROR(INDEX($CG$57:$CG$86,SMALL(IF($CF$57:$CF$86=$H$29,ROW($1:$30)),CR85)),"")</f>
        <v/>
      </c>
      <c r="CR85" s="51">
        <v>29</v>
      </c>
    </row>
    <row r="86" spans="84:96" ht="14.25" customHeight="1" thickBot="1" x14ac:dyDescent="0.25">
      <c r="CF86" s="86" t="str">
        <f>IF(Modulliste!A31=0,"",Modulliste!A31)</f>
        <v/>
      </c>
      <c r="CG86" s="87" t="str">
        <f>IF(Modulliste!B31=0,"",Modulliste!B31)</f>
        <v/>
      </c>
      <c r="CH86" s="87" t="str">
        <f>IF(Modulliste!C31=0,"",Modulliste!C31)</f>
        <v/>
      </c>
      <c r="CI86" s="87" t="str">
        <f>IF(Modulliste!D31=0,"",Modulliste!D31)</f>
        <v/>
      </c>
      <c r="CJ86" s="87" t="str">
        <f>IF(Modulliste!E31=0,"",Modulliste!E31)</f>
        <v/>
      </c>
      <c r="CK86" s="87" t="str">
        <f>IF(Modulliste!F31=0,"",Modulliste!F31)</f>
        <v/>
      </c>
      <c r="CL86" s="87" t="str">
        <f>IF(Modulliste!G31=0,"",Modulliste!G31)</f>
        <v/>
      </c>
      <c r="CM86" s="87" t="str">
        <f>IF(Modulliste!H31=0,"",Modulliste!H31)</f>
        <v/>
      </c>
      <c r="CN86" s="87" t="str">
        <f>IF(Modulliste!I31=0,"",Modulliste!I31)</f>
        <v/>
      </c>
      <c r="CO86" s="88" t="str">
        <f>IF(Modulliste!J31=0,"",Modulliste!J31)</f>
        <v/>
      </c>
      <c r="CP86" s="52" t="str">
        <f ca="1">Modulliste!L31</f>
        <v/>
      </c>
      <c r="CQ86" s="52" t="str">
        <f t="array" ref="CQ86">IFERROR(INDEX($CG$57:$CG$86,SMALL(IF($CF$57:$CF$86=$H$29,ROW($1:$30)),CR86)),"")</f>
        <v/>
      </c>
      <c r="CR86" s="52">
        <v>30</v>
      </c>
    </row>
    <row r="87" spans="84:96" ht="15" customHeight="1" thickBot="1" x14ac:dyDescent="0.25"/>
    <row r="88" spans="84:96" ht="14.25" customHeight="1" thickBot="1" x14ac:dyDescent="0.3">
      <c r="CF88" s="73" t="s">
        <v>203</v>
      </c>
      <c r="CG88" s="74" t="s">
        <v>53</v>
      </c>
      <c r="CH88" s="74" t="s">
        <v>204</v>
      </c>
      <c r="CI88" s="74" t="s">
        <v>205</v>
      </c>
      <c r="CJ88" s="74" t="s">
        <v>206</v>
      </c>
      <c r="CK88" s="74" t="s">
        <v>207</v>
      </c>
      <c r="CL88" s="74" t="s">
        <v>208</v>
      </c>
      <c r="CM88" s="74" t="s">
        <v>209</v>
      </c>
      <c r="CN88" s="76" t="s">
        <v>194</v>
      </c>
      <c r="CO88" s="76" t="s">
        <v>194</v>
      </c>
      <c r="CP88" s="76" t="s">
        <v>195</v>
      </c>
    </row>
    <row r="89" spans="84:96" ht="14.25" customHeight="1" x14ac:dyDescent="0.2">
      <c r="CF89" s="83" t="str">
        <f>IF(Akkuliste!A2=0,"",Akkuliste!A2)</f>
        <v>SMILE-G3-S5</v>
      </c>
      <c r="CG89" s="84" t="str">
        <f>IF(Akkuliste!B2=0,"",Akkuliste!B2)</f>
        <v>SMILE-G3-BAT-3.8S</v>
      </c>
      <c r="CH89" s="84">
        <f>IF(Akkuliste!C2=0,"",Akkuliste!C2)</f>
        <v>96</v>
      </c>
      <c r="CI89" s="84">
        <f>IF(Akkuliste!D2=0,"",Akkuliste!D2)</f>
        <v>40</v>
      </c>
      <c r="CJ89" s="84">
        <f>IF(Akkuliste!E2=0,"",Akkuliste!E2)</f>
        <v>40</v>
      </c>
      <c r="CK89" s="84">
        <f>IF(Akkuliste!F2=0,"",Akkuliste!F2)</f>
        <v>50</v>
      </c>
      <c r="CL89" s="84">
        <f>IF(Akkuliste!G2=0,"",Akkuliste!G2)</f>
        <v>3.8</v>
      </c>
      <c r="CM89" s="84">
        <f>IF(Akkuliste!H2=0,"",Akkuliste!H2)</f>
        <v>3.65</v>
      </c>
      <c r="CN89" s="51" t="str">
        <f ca="1">Akkuliste!K2</f>
        <v>SMILE-G3-S5</v>
      </c>
      <c r="CO89" s="50" t="str">
        <f t="array" ref="CO89">IFERROR(INDEX($CG$89:$CG$118,SMALL(IF($CF$89:$CF$118=$G$11,ROW($1:$30)),CP89)),"")</f>
        <v>SMILE-G3-BAT-3.8S</v>
      </c>
      <c r="CP89" s="50">
        <v>1</v>
      </c>
    </row>
    <row r="90" spans="84:96" ht="15" customHeight="1" x14ac:dyDescent="0.2">
      <c r="CF90" s="80" t="str">
        <f>IF(Akkuliste!A3=0,"",Akkuliste!A3)</f>
        <v>SMILE-G3-T4</v>
      </c>
      <c r="CG90" s="81" t="str">
        <f>IF(Akkuliste!B3=0,"",Akkuliste!B3)</f>
        <v>SMILE-G3-BAT-3.8S</v>
      </c>
      <c r="CH90" s="81">
        <f>IF(Akkuliste!C3=0,"",Akkuliste!C3)</f>
        <v>96</v>
      </c>
      <c r="CI90" s="81">
        <f>IF(Akkuliste!D3=0,"",Akkuliste!D3)</f>
        <v>40</v>
      </c>
      <c r="CJ90" s="81">
        <f>IF(Akkuliste!E3=0,"",Akkuliste!E3)</f>
        <v>40</v>
      </c>
      <c r="CK90" s="81">
        <f>IF(Akkuliste!F3=0,"",Akkuliste!F3)</f>
        <v>50</v>
      </c>
      <c r="CL90" s="81">
        <f>IF(Akkuliste!G3=0,"",Akkuliste!G3)</f>
        <v>3.8</v>
      </c>
      <c r="CM90" s="81">
        <f>IF(Akkuliste!H3=0,"",Akkuliste!H3)</f>
        <v>3.65</v>
      </c>
      <c r="CN90" s="51" t="str">
        <f ca="1">Akkuliste!K3</f>
        <v>SMILE-G3-T4</v>
      </c>
      <c r="CO90" s="51" t="str">
        <f t="array" ref="CO90">IFERROR(INDEX($CG$89:$CG$118,SMALL(IF($CF$89:$CF$118=$G$11,ROW($1:$30)),CP90)),"")</f>
        <v/>
      </c>
      <c r="CP90" s="51">
        <v>2</v>
      </c>
    </row>
    <row r="91" spans="84:96" ht="15" customHeight="1" x14ac:dyDescent="0.2">
      <c r="CF91" s="83" t="str">
        <f>IF(Akkuliste!A4=0,"",Akkuliste!A4)</f>
        <v>SMILE-G3-T6</v>
      </c>
      <c r="CG91" s="84" t="str">
        <f>IF(Akkuliste!B4=0,"",Akkuliste!B4)</f>
        <v>SMILE-G3-BAT-3.8S</v>
      </c>
      <c r="CH91" s="84">
        <f>IF(Akkuliste!C4=0,"",Akkuliste!C4)</f>
        <v>96</v>
      </c>
      <c r="CI91" s="84">
        <f>IF(Akkuliste!D4=0,"",Akkuliste!D4)</f>
        <v>40</v>
      </c>
      <c r="CJ91" s="84">
        <f>IF(Akkuliste!E4=0,"",Akkuliste!E4)</f>
        <v>40</v>
      </c>
      <c r="CK91" s="84">
        <f>IF(Akkuliste!F4=0,"",Akkuliste!F4)</f>
        <v>50</v>
      </c>
      <c r="CL91" s="84">
        <f>IF(Akkuliste!G4=0,"",Akkuliste!G4)</f>
        <v>3.8</v>
      </c>
      <c r="CM91" s="84">
        <f>IF(Akkuliste!H4=0,"",Akkuliste!H4)</f>
        <v>3.65</v>
      </c>
      <c r="CN91" s="51" t="str">
        <f ca="1">Akkuliste!K4</f>
        <v>SMILE-G3-T6</v>
      </c>
      <c r="CO91" s="51" t="str">
        <f t="array" ref="CO91">IFERROR(INDEX($CG$89:$CG$118,SMALL(IF($CF$89:$CF$118=$G$11,ROW($1:$30)),CP91)),"")</f>
        <v/>
      </c>
      <c r="CP91" s="51">
        <v>3</v>
      </c>
    </row>
    <row r="92" spans="84:96" ht="14.25" customHeight="1" x14ac:dyDescent="0.2">
      <c r="CF92" s="80" t="str">
        <f>IF(Akkuliste!A5=0,"",Akkuliste!A5)</f>
        <v>SMILE-G3-T8</v>
      </c>
      <c r="CG92" s="81" t="str">
        <f>IF(Akkuliste!B5=0,"",Akkuliste!B5)</f>
        <v>SMILE-G3-BAT-3.8S</v>
      </c>
      <c r="CH92" s="81">
        <f>IF(Akkuliste!C5=0,"",Akkuliste!C5)</f>
        <v>96</v>
      </c>
      <c r="CI92" s="81">
        <f>IF(Akkuliste!D5=0,"",Akkuliste!D5)</f>
        <v>40</v>
      </c>
      <c r="CJ92" s="81">
        <f>IF(Akkuliste!E5=0,"",Akkuliste!E5)</f>
        <v>40</v>
      </c>
      <c r="CK92" s="81">
        <f>IF(Akkuliste!F5=0,"",Akkuliste!F5)</f>
        <v>50</v>
      </c>
      <c r="CL92" s="81">
        <f>IF(Akkuliste!G5=0,"",Akkuliste!G5)</f>
        <v>3.8</v>
      </c>
      <c r="CM92" s="81">
        <f>IF(Akkuliste!H5=0,"",Akkuliste!H5)</f>
        <v>3.65</v>
      </c>
      <c r="CN92" s="51" t="str">
        <f ca="1">Akkuliste!K5</f>
        <v>SMILE-G3-T8</v>
      </c>
      <c r="CO92" s="51" t="str">
        <f t="array" ref="CO92">IFERROR(INDEX($CG$89:$CG$118,SMALL(IF($CF$89:$CF$118=$G$11,ROW($1:$30)),CP92)),"")</f>
        <v/>
      </c>
      <c r="CP92" s="51">
        <v>4</v>
      </c>
    </row>
    <row r="93" spans="84:96" ht="14.25" customHeight="1" x14ac:dyDescent="0.2">
      <c r="CF93" s="83" t="str">
        <f>IF(Akkuliste!A6=0,"",Akkuliste!A6)</f>
        <v>SMILE-G3-T10</v>
      </c>
      <c r="CG93" s="84" t="str">
        <f>IF(Akkuliste!B6=0,"",Akkuliste!B6)</f>
        <v>SMILE-G3-BAT-3.8S</v>
      </c>
      <c r="CH93" s="84">
        <f>IF(Akkuliste!C6=0,"",Akkuliste!C6)</f>
        <v>96</v>
      </c>
      <c r="CI93" s="84">
        <f>IF(Akkuliste!D6=0,"",Akkuliste!D6)</f>
        <v>40</v>
      </c>
      <c r="CJ93" s="84">
        <f>IF(Akkuliste!E6=0,"",Akkuliste!E6)</f>
        <v>40</v>
      </c>
      <c r="CK93" s="84">
        <f>IF(Akkuliste!F6=0,"",Akkuliste!F6)</f>
        <v>50</v>
      </c>
      <c r="CL93" s="84">
        <f>IF(Akkuliste!G6=0,"",Akkuliste!G6)</f>
        <v>3.8</v>
      </c>
      <c r="CM93" s="84">
        <f>IF(Akkuliste!H6=0,"",Akkuliste!H6)</f>
        <v>3.65</v>
      </c>
      <c r="CN93" s="51" t="str">
        <f ca="1">Akkuliste!K6</f>
        <v>SMILE-G3-T10</v>
      </c>
      <c r="CO93" s="51" t="str">
        <f t="array" ref="CO93">IFERROR(INDEX($CG$89:$CG$118,SMALL(IF($CF$89:$CF$118=$G$11,ROW($1:$30)),CP93)),"")</f>
        <v/>
      </c>
      <c r="CP93" s="51">
        <v>5</v>
      </c>
    </row>
    <row r="94" spans="84:96" ht="14.25" customHeight="1" x14ac:dyDescent="0.2">
      <c r="CF94" s="80" t="str">
        <f>IF(Akkuliste!A7=0,"",Akkuliste!A7)</f>
        <v>SMILE-G3-T12</v>
      </c>
      <c r="CG94" s="81" t="str">
        <f>IF(Akkuliste!B7=0,"",Akkuliste!B7)</f>
        <v>SMILE-G3-BAT-3.8S</v>
      </c>
      <c r="CH94" s="81">
        <f>IF(Akkuliste!C7=0,"",Akkuliste!C7)</f>
        <v>96</v>
      </c>
      <c r="CI94" s="81">
        <f>IF(Akkuliste!D7=0,"",Akkuliste!D7)</f>
        <v>40</v>
      </c>
      <c r="CJ94" s="81">
        <f>IF(Akkuliste!E7=0,"",Akkuliste!E7)</f>
        <v>40</v>
      </c>
      <c r="CK94" s="81">
        <f>IF(Akkuliste!F7=0,"",Akkuliste!F7)</f>
        <v>50</v>
      </c>
      <c r="CL94" s="81">
        <f>IF(Akkuliste!G7=0,"",Akkuliste!G7)</f>
        <v>3.8</v>
      </c>
      <c r="CM94" s="81">
        <f>IF(Akkuliste!H7=0,"",Akkuliste!H7)</f>
        <v>3.65</v>
      </c>
      <c r="CN94" s="51" t="str">
        <f ca="1">Akkuliste!K7</f>
        <v>SMILE-G3-T12</v>
      </c>
      <c r="CO94" s="51" t="str">
        <f t="array" ref="CO94">IFERROR(INDEX($CG$89:$CG$118,SMALL(IF($CF$89:$CF$118=$G$11,ROW($1:$30)),CP94)),"")</f>
        <v/>
      </c>
      <c r="CP94" s="51">
        <v>6</v>
      </c>
    </row>
    <row r="95" spans="84:96" ht="14.25" customHeight="1" x14ac:dyDescent="0.2">
      <c r="CF95" s="83" t="str">
        <f>IF(Akkuliste!A8=0,"",Akkuliste!A8)</f>
        <v>SMILE-G3-T15</v>
      </c>
      <c r="CG95" s="84" t="str">
        <f>IF(Akkuliste!B8=0,"",Akkuliste!B8)</f>
        <v>SMILE-G3-BAT-3.8S</v>
      </c>
      <c r="CH95" s="84">
        <f>IF(Akkuliste!C8=0,"",Akkuliste!C8)</f>
        <v>96</v>
      </c>
      <c r="CI95" s="84">
        <f>IF(Akkuliste!D8=0,"",Akkuliste!D8)</f>
        <v>40</v>
      </c>
      <c r="CJ95" s="84">
        <f>IF(Akkuliste!E8=0,"",Akkuliste!E8)</f>
        <v>40</v>
      </c>
      <c r="CK95" s="84">
        <f>IF(Akkuliste!F8=0,"",Akkuliste!F8)</f>
        <v>50</v>
      </c>
      <c r="CL95" s="84">
        <f>IF(Akkuliste!G8=0,"",Akkuliste!G8)</f>
        <v>3.8</v>
      </c>
      <c r="CM95" s="84">
        <f>IF(Akkuliste!H8=0,"",Akkuliste!H8)</f>
        <v>3.65</v>
      </c>
      <c r="CN95" s="51" t="str">
        <f ca="1">Akkuliste!K8</f>
        <v>SMILE-G3-T15</v>
      </c>
      <c r="CO95" s="51" t="str">
        <f t="array" ref="CO95">IFERROR(INDEX($CG$89:$CG$118,SMALL(IF($CF$89:$CF$118=$G$11,ROW($1:$30)),CP95)),"")</f>
        <v/>
      </c>
      <c r="CP95" s="51">
        <v>7</v>
      </c>
    </row>
    <row r="96" spans="84:96" ht="14.25" customHeight="1" x14ac:dyDescent="0.2">
      <c r="CF96" s="80" t="str">
        <f>IF(Akkuliste!A9=0,"",Akkuliste!A9)</f>
        <v>SMILE-G3-T20</v>
      </c>
      <c r="CG96" s="81" t="str">
        <f>IF(Akkuliste!B9=0,"",Akkuliste!B9)</f>
        <v>SMILE-G3-BAT-3.8S</v>
      </c>
      <c r="CH96" s="81">
        <f>IF(Akkuliste!C9=0,"",Akkuliste!C9)</f>
        <v>96</v>
      </c>
      <c r="CI96" s="81">
        <f>IF(Akkuliste!D9=0,"",Akkuliste!D9)</f>
        <v>40</v>
      </c>
      <c r="CJ96" s="81">
        <f>IF(Akkuliste!E9=0,"",Akkuliste!E9)</f>
        <v>40</v>
      </c>
      <c r="CK96" s="81">
        <f>IF(Akkuliste!F9=0,"",Akkuliste!F9)</f>
        <v>50</v>
      </c>
      <c r="CL96" s="81">
        <f>IF(Akkuliste!G9=0,"",Akkuliste!G9)</f>
        <v>3.8</v>
      </c>
      <c r="CM96" s="81">
        <f>IF(Akkuliste!H9=0,"",Akkuliste!H9)</f>
        <v>3.65</v>
      </c>
      <c r="CN96" s="51" t="str">
        <f ca="1">Akkuliste!K9</f>
        <v>SMILE-G3-T20</v>
      </c>
      <c r="CO96" s="51" t="str">
        <f t="array" ref="CO96">IFERROR(INDEX($CG$89:$CG$118,SMALL(IF($CF$89:$CF$118=$G$11,ROW($1:$30)),CP96)),"")</f>
        <v/>
      </c>
      <c r="CP96" s="51">
        <v>8</v>
      </c>
    </row>
    <row r="97" spans="84:94" ht="15" customHeight="1" x14ac:dyDescent="0.2">
      <c r="CF97" s="83" t="str">
        <f>IF(Akkuliste!A10=0,"",Akkuliste!A10)</f>
        <v>SMILE-i3</v>
      </c>
      <c r="CG97" s="84" t="str">
        <f>IF(Akkuliste!B10=0,"",Akkuliste!B10)</f>
        <v>SMILE-i3-BAT-2.75</v>
      </c>
      <c r="CH97" s="84">
        <f>IF(Akkuliste!C10=0,"",Akkuliste!C10)</f>
        <v>51.2</v>
      </c>
      <c r="CI97" s="84">
        <f>IF(Akkuliste!D10=0,"",Akkuliste!D10)</f>
        <v>56</v>
      </c>
      <c r="CJ97" s="84">
        <f>IF(Akkuliste!E10=0,"",Akkuliste!E10)</f>
        <v>56</v>
      </c>
      <c r="CK97" s="84">
        <f>IF(Akkuliste!F10=0,"",Akkuliste!F10)</f>
        <v>56</v>
      </c>
      <c r="CL97" s="84">
        <f>IF(Akkuliste!G10=0,"",Akkuliste!G10)</f>
        <v>2.8672000000000004</v>
      </c>
      <c r="CM97" s="84">
        <f>IF(Akkuliste!H10=0,"",Akkuliste!H10)</f>
        <v>2.7525120000000003</v>
      </c>
      <c r="CN97" s="51" t="str">
        <f ca="1">Akkuliste!K10</f>
        <v>SMILE-i3</v>
      </c>
      <c r="CO97" s="51" t="str">
        <f t="array" ref="CO97">IFERROR(INDEX($CG$89:$CG$118,SMALL(IF($CF$89:$CF$118=$G$11,ROW($1:$30)),CP97)),"")</f>
        <v/>
      </c>
      <c r="CP97" s="51">
        <v>9</v>
      </c>
    </row>
    <row r="98" spans="84:94" ht="15" x14ac:dyDescent="0.2">
      <c r="CF98" s="80" t="str">
        <f>IF(Akkuliste!A11=0,"",Akkuliste!A11)</f>
        <v>SMILE-Hi5</v>
      </c>
      <c r="CG98" s="81" t="str">
        <f>IF(Akkuliste!B11=0,"",Akkuliste!B11)</f>
        <v>SMILE-Hi5/10-BAT-7.8</v>
      </c>
      <c r="CH98" s="81">
        <f>IF(Akkuliste!C11=0,"",Akkuliste!C11)</f>
        <v>256</v>
      </c>
      <c r="CI98" s="81">
        <f>IF(Akkuliste!D11=0,"",Akkuliste!D11)</f>
        <v>32</v>
      </c>
      <c r="CJ98" s="81">
        <f>IF(Akkuliste!E11=0,"",Akkuliste!E11)</f>
        <v>32</v>
      </c>
      <c r="CK98" s="81">
        <f>IF(Akkuliste!F11=0,"",Akkuliste!F11)</f>
        <v>32</v>
      </c>
      <c r="CL98" s="81">
        <f>IF(Akkuliste!G11=0,"",Akkuliste!G11)</f>
        <v>8.1920000000000002</v>
      </c>
      <c r="CM98" s="81">
        <f>IF(Akkuliste!H11=0,"",Akkuliste!H11)</f>
        <v>7.7824</v>
      </c>
      <c r="CN98" s="51" t="str">
        <f ca="1">Akkuliste!K11</f>
        <v>SMILE-Hi5</v>
      </c>
      <c r="CO98" s="51" t="str">
        <f t="array" ref="CO98">IFERROR(INDEX($CG$89:$CG$118,SMALL(IF($CF$89:$CF$118=$G$11,ROW($1:$30)),CP98)),"")</f>
        <v/>
      </c>
      <c r="CP98" s="51">
        <v>10</v>
      </c>
    </row>
    <row r="99" spans="84:94" ht="15" x14ac:dyDescent="0.2">
      <c r="CF99" s="83" t="str">
        <f>IF(Akkuliste!A12=0,"",Akkuliste!A12)</f>
        <v>SMILE-Hi5</v>
      </c>
      <c r="CG99" s="84" t="str">
        <f>IF(Akkuliste!B12=0,"",Akkuliste!B12)</f>
        <v>SMILE-Hi5-BAT-4.8</v>
      </c>
      <c r="CH99" s="84">
        <f>IF(Akkuliste!C12=0,"",Akkuliste!C12)</f>
        <v>153.6</v>
      </c>
      <c r="CI99" s="84">
        <f>IF(Akkuliste!D12=0,"",Akkuliste!D12)</f>
        <v>32</v>
      </c>
      <c r="CJ99" s="84">
        <f>IF(Akkuliste!E12=0,"",Akkuliste!E12)</f>
        <v>32</v>
      </c>
      <c r="CK99" s="84">
        <f>IF(Akkuliste!F12=0,"",Akkuliste!F12)</f>
        <v>32</v>
      </c>
      <c r="CL99" s="84">
        <f>IF(Akkuliste!G12=0,"",Akkuliste!G12)</f>
        <v>4.9151999999999996</v>
      </c>
      <c r="CM99" s="84">
        <f>IF(Akkuliste!H12=0,"",Akkuliste!H12)</f>
        <v>4.6694399999999998</v>
      </c>
      <c r="CN99" s="51" t="str">
        <f ca="1">Akkuliste!K12</f>
        <v>SMILE-Hi10</v>
      </c>
      <c r="CO99" s="51" t="str">
        <f t="array" ref="CO99">IFERROR(INDEX($CG$89:$CG$118,SMALL(IF($CF$89:$CF$118=$G$11,ROW($1:$30)),CP99)),"")</f>
        <v/>
      </c>
      <c r="CP99" s="51">
        <v>11</v>
      </c>
    </row>
    <row r="100" spans="84:94" ht="15" x14ac:dyDescent="0.2">
      <c r="CF100" s="80" t="str">
        <f>IF(Akkuliste!A13=0,"",Akkuliste!A13)</f>
        <v>SMILE-Hi10</v>
      </c>
      <c r="CG100" s="81" t="str">
        <f>IF(Akkuliste!B13=0,"",Akkuliste!B13)</f>
        <v>SMILE-Hi5/10-BAT-7.8</v>
      </c>
      <c r="CH100" s="81">
        <f>IF(Akkuliste!C13=0,"",Akkuliste!C13)</f>
        <v>256</v>
      </c>
      <c r="CI100" s="81">
        <f>IF(Akkuliste!D13=0,"",Akkuliste!D13)</f>
        <v>32</v>
      </c>
      <c r="CJ100" s="81">
        <f>IF(Akkuliste!E13=0,"",Akkuliste!E13)</f>
        <v>32</v>
      </c>
      <c r="CK100" s="81">
        <f>IF(Akkuliste!F14=0,"",Akkuliste!F14)</f>
        <v>90</v>
      </c>
      <c r="CL100" s="81">
        <f>IF(Akkuliste!G13=0,"",Akkuliste!G13)</f>
        <v>8.1920000000000002</v>
      </c>
      <c r="CM100" s="81">
        <f>IF(Akkuliste!H13=0,"",Akkuliste!H13)</f>
        <v>7.7824</v>
      </c>
      <c r="CN100" s="51" t="str">
        <f ca="1">Akkuliste!K13</f>
        <v>STORION H29 (M7790-S)</v>
      </c>
      <c r="CO100" s="51" t="str">
        <f t="array" ref="CO100">IFERROR(INDEX($CG$89:$CG$118,SMALL(IF($CF$89:$CF$118=$G$11,ROW($1:$30)),CP100)),"")</f>
        <v/>
      </c>
      <c r="CP100" s="51">
        <v>12</v>
      </c>
    </row>
    <row r="101" spans="84:94" ht="15" x14ac:dyDescent="0.2">
      <c r="CF101" s="83" t="str">
        <f>IF(Akkuliste!A14=0,"",Akkuliste!A14)</f>
        <v>STORION H29 (M7790-S)</v>
      </c>
      <c r="CG101" s="84" t="str">
        <f>IF(Akkuliste!B14=0,"",Akkuliste!B14)</f>
        <v>M7790-S</v>
      </c>
      <c r="CH101" s="84">
        <f>IF(Akkuliste!C14=0,"",Akkuliste!C14)</f>
        <v>76.8</v>
      </c>
      <c r="CI101" s="84">
        <f>IF(Akkuliste!D14=0,"",Akkuliste!D14)</f>
        <v>90</v>
      </c>
      <c r="CJ101" s="84">
        <f>IF(Akkuliste!E14=0,"",Akkuliste!E14)</f>
        <v>90</v>
      </c>
      <c r="CK101" s="84">
        <f>IF(Akkuliste!F14=0,"",Akkuliste!F14)</f>
        <v>90</v>
      </c>
      <c r="CL101" s="84">
        <f>IF(Akkuliste!G14=0,"",Akkuliste!G14)</f>
        <v>7.2</v>
      </c>
      <c r="CM101" s="84">
        <f>IF(Akkuliste!H14=0,"",Akkuliste!H14)</f>
        <v>6.9119999999999999</v>
      </c>
      <c r="CN101" s="51" t="str">
        <f ca="1">Akkuliste!K14</f>
        <v>STORION H30 (M7790-S)</v>
      </c>
      <c r="CO101" s="51" t="str">
        <f t="array" ref="CO101">IFERROR(INDEX($CG$89:$CG$118,SMALL(IF($CF$89:$CF$118=$G$11,ROW($1:$30)),CP101)),"")</f>
        <v/>
      </c>
      <c r="CP101" s="51">
        <v>13</v>
      </c>
    </row>
    <row r="102" spans="84:94" ht="14.25" customHeight="1" x14ac:dyDescent="0.2">
      <c r="CF102" s="80" t="str">
        <f>IF(Akkuliste!A15=0,"",Akkuliste!A15)</f>
        <v>STORION H30 (M7790-S)</v>
      </c>
      <c r="CG102" s="81" t="str">
        <f>IF(Akkuliste!B15=0,"",Akkuliste!B15)</f>
        <v>M7790-S</v>
      </c>
      <c r="CH102" s="81">
        <f>IF(Akkuliste!C15=0,"",Akkuliste!C15)</f>
        <v>76.8</v>
      </c>
      <c r="CI102" s="81">
        <f>IF(Akkuliste!D15=0,"",Akkuliste!D15)</f>
        <v>90</v>
      </c>
      <c r="CJ102" s="81">
        <f>IF(Akkuliste!E15=0,"",Akkuliste!E15)</f>
        <v>90</v>
      </c>
      <c r="CK102" s="81">
        <f>IF(Akkuliste!F15=0,"",Akkuliste!F15)</f>
        <v>90</v>
      </c>
      <c r="CL102" s="81">
        <f>IF(Akkuliste!G15=0,"",Akkuliste!G15)</f>
        <v>7.2</v>
      </c>
      <c r="CM102" s="81">
        <f>IF(Akkuliste!H15=0,"",Akkuliste!H15)</f>
        <v>6.9119999999999999</v>
      </c>
      <c r="CN102" s="51" t="str">
        <f ca="1">Akkuliste!K15</f>
        <v>STORION H29 (M38210-SC)</v>
      </c>
      <c r="CO102" s="51" t="str">
        <f t="array" ref="CO102">IFERROR(INDEX($CG$89:$CG$118,SMALL(IF($CF$89:$CF$118=$G$11,ROW($1:$30)),CP102)),"")</f>
        <v/>
      </c>
      <c r="CP102" s="51">
        <v>14</v>
      </c>
    </row>
    <row r="103" spans="84:94" ht="14.25" customHeight="1" x14ac:dyDescent="0.2">
      <c r="CF103" s="83" t="str">
        <f>IF(Akkuliste!A16=0,"",Akkuliste!A16)</f>
        <v>STORION H29 (M38210-SC)</v>
      </c>
      <c r="CG103" s="84" t="str">
        <f>IF(Akkuliste!B16=0,"",Akkuliste!B16)</f>
        <v>M38210-SC</v>
      </c>
      <c r="CH103" s="84">
        <f>IF(Akkuliste!C16=0,"",Akkuliste!C16)</f>
        <v>38.4</v>
      </c>
      <c r="CI103" s="84">
        <f>IF(Akkuliste!D16=0,"",Akkuliste!D16)</f>
        <v>105</v>
      </c>
      <c r="CJ103" s="84">
        <f>IF(Akkuliste!E16=0,"",Akkuliste!E16)</f>
        <v>105</v>
      </c>
      <c r="CK103" s="84">
        <f>IF(Akkuliste!F16=0,"",Akkuliste!F16)</f>
        <v>105</v>
      </c>
      <c r="CL103" s="84">
        <f>IF(Akkuliste!G16=0,"",Akkuliste!G16)</f>
        <v>8.4</v>
      </c>
      <c r="CM103" s="84">
        <f>IF(Akkuliste!H16=0,"",Akkuliste!H16)</f>
        <v>8.0640000000000001</v>
      </c>
      <c r="CN103" s="51" t="str">
        <f ca="1">Akkuliste!K16</f>
        <v>STORION H30 (M38210-SC)</v>
      </c>
      <c r="CO103" s="51" t="str">
        <f t="array" ref="CO103">IFERROR(INDEX($CG$89:$CG$118,SMALL(IF($CF$89:$CF$118=$G$11,ROW($1:$30)),CP103)),"")</f>
        <v/>
      </c>
      <c r="CP103" s="51">
        <v>15</v>
      </c>
    </row>
    <row r="104" spans="84:94" ht="15" x14ac:dyDescent="0.2">
      <c r="CF104" s="80" t="str">
        <f>IF(Akkuliste!A17=0,"",Akkuliste!A17)</f>
        <v>STORION H30 (M38210-SC)</v>
      </c>
      <c r="CG104" s="81" t="str">
        <f>IF(Akkuliste!B17=0,"",Akkuliste!B17)</f>
        <v>M38210-SC</v>
      </c>
      <c r="CH104" s="81">
        <f>IF(Akkuliste!C17=0,"",Akkuliste!C17)</f>
        <v>38.4</v>
      </c>
      <c r="CI104" s="81">
        <f>IF(Akkuliste!D17=0,"",Akkuliste!D17)</f>
        <v>105</v>
      </c>
      <c r="CJ104" s="81">
        <f>IF(Akkuliste!E17=0,"",Akkuliste!E17)</f>
        <v>105</v>
      </c>
      <c r="CK104" s="81">
        <f>IF(Akkuliste!F17=0,"",Akkuliste!F17)</f>
        <v>105</v>
      </c>
      <c r="CL104" s="81">
        <f>IF(Akkuliste!G17=0,"",Akkuliste!G17)</f>
        <v>8.4</v>
      </c>
      <c r="CM104" s="81">
        <f>IF(Akkuliste!H17=0,"",Akkuliste!H17)</f>
        <v>8.0640000000000001</v>
      </c>
      <c r="CN104" s="51" t="str">
        <f ca="1">Akkuliste!K17</f>
        <v>STORION H50 Indoor (0,5C)</v>
      </c>
      <c r="CO104" s="51" t="str">
        <f t="array" ref="CO104">IFERROR(INDEX($CG$89:$CG$118,SMALL(IF($CF$89:$CF$118=$G$11,ROW($1:$30)),CP104)),"")</f>
        <v/>
      </c>
      <c r="CP104" s="51">
        <v>16</v>
      </c>
    </row>
    <row r="105" spans="84:94" ht="15" x14ac:dyDescent="0.2">
      <c r="CF105" s="83" t="str">
        <f>IF(Akkuliste!A18=0,"",Akkuliste!A18)</f>
        <v>STORION H50 Indoor (0,5C)</v>
      </c>
      <c r="CG105" s="84" t="str">
        <f>IF(Akkuliste!B18=0,"",Akkuliste!B18)</f>
        <v>M38210-SC 105 kWh</v>
      </c>
      <c r="CH105" s="84">
        <f>IF(Akkuliste!C18=0,"",Akkuliste!C18)</f>
        <v>499.2</v>
      </c>
      <c r="CI105" s="84">
        <f>IF(Akkuliste!D18=0,"",Akkuliste!D18)</f>
        <v>105</v>
      </c>
      <c r="CJ105" s="84">
        <f>IF(Akkuliste!E18=0,"",Akkuliste!E18)</f>
        <v>105</v>
      </c>
      <c r="CK105" s="84">
        <f>IF(Akkuliste!F18=0,"",Akkuliste!F18)</f>
        <v>105</v>
      </c>
      <c r="CL105" s="84">
        <f>IF(Akkuliste!G18=0,"",Akkuliste!G18)</f>
        <v>109.2</v>
      </c>
      <c r="CM105" s="84">
        <f>IF(Akkuliste!H18=0,"",Akkuliste!H18)</f>
        <v>104.83199999999999</v>
      </c>
      <c r="CN105" s="51" t="str">
        <f ca="1">Akkuliste!K18</f>
        <v>STORION H50 Outdoor (0,5C)</v>
      </c>
      <c r="CO105" s="51" t="str">
        <f t="array" ref="CO105">IFERROR(INDEX($CG$89:$CG$118,SMALL(IF($CF$89:$CF$118=$G$11,ROW($1:$30)),CP105)),"")</f>
        <v/>
      </c>
      <c r="CP105" s="51">
        <v>17</v>
      </c>
    </row>
    <row r="106" spans="84:94" ht="14.25" customHeight="1" x14ac:dyDescent="0.2">
      <c r="CF106" s="80" t="str">
        <f>IF(Akkuliste!A19=0,"",Akkuliste!A19)</f>
        <v>STORION H50 Outdoor (0,5C)</v>
      </c>
      <c r="CG106" s="81" t="str">
        <f>IF(Akkuliste!B19=0,"",Akkuliste!B19)</f>
        <v>M38210-SC 96,8 kWh</v>
      </c>
      <c r="CH106" s="81">
        <f>IF(Akkuliste!C19=0,"",Akkuliste!C19)</f>
        <v>460.79999999999995</v>
      </c>
      <c r="CI106" s="81">
        <f>IF(Akkuliste!D19=0,"",Akkuliste!D19)</f>
        <v>105</v>
      </c>
      <c r="CJ106" s="81">
        <f>IF(Akkuliste!E19=0,"",Akkuliste!E19)</f>
        <v>105</v>
      </c>
      <c r="CK106" s="81">
        <f>IF(Akkuliste!F19=0,"",Akkuliste!F19)</f>
        <v>105</v>
      </c>
      <c r="CL106" s="81">
        <f>IF(Akkuliste!G19=0,"",Akkuliste!G19)</f>
        <v>100.80000000000001</v>
      </c>
      <c r="CM106" s="81">
        <f>IF(Akkuliste!H19=0,"",Akkuliste!H19)</f>
        <v>96.768000000000001</v>
      </c>
      <c r="CN106" s="51" t="str">
        <f ca="1">Akkuliste!K19</f>
        <v>STORION T30</v>
      </c>
      <c r="CO106" s="51" t="str">
        <f t="array" ref="CO106">IFERROR(INDEX($CG$89:$CG$118,SMALL(IF($CF$89:$CF$118=$G$11,ROW($1:$30)),CP106)),"")</f>
        <v/>
      </c>
      <c r="CP106" s="51">
        <v>18</v>
      </c>
    </row>
    <row r="107" spans="84:94" ht="14.25" customHeight="1" x14ac:dyDescent="0.2">
      <c r="CF107" s="83" t="str">
        <f>IF(Akkuliste!A20=0,"",Akkuliste!A20)</f>
        <v>STORION T30</v>
      </c>
      <c r="CG107" s="84" t="str">
        <f>IF(Akkuliste!B20=0,"",Akkuliste!B20)</f>
        <v>M48112-S</v>
      </c>
      <c r="CH107" s="84">
        <f>IF(Akkuliste!C20=0,"",Akkuliste!C20)</f>
        <v>51.2</v>
      </c>
      <c r="CI107" s="84">
        <f>IF(Akkuliste!D20=0,"",Akkuliste!D20)</f>
        <v>112</v>
      </c>
      <c r="CJ107" s="84">
        <f>IF(Akkuliste!E20=0,"",Akkuliste!E20)</f>
        <v>112</v>
      </c>
      <c r="CK107" s="84">
        <f>IF(Akkuliste!F20=0,"",Akkuliste!F20)</f>
        <v>112</v>
      </c>
      <c r="CL107" s="84">
        <f>IF(Akkuliste!G20=0,"",Akkuliste!G20)</f>
        <v>5.7344000000000008</v>
      </c>
      <c r="CM107" s="84">
        <f>IF(Akkuliste!H20=0,"",Akkuliste!H20)</f>
        <v>5.1609600000000011</v>
      </c>
      <c r="CN107" s="51" t="str">
        <f ca="1">Akkuliste!K20</f>
        <v>SMILE 5 (2021)</v>
      </c>
      <c r="CO107" s="51" t="str">
        <f t="array" ref="CO107">IFERROR(INDEX($CG$89:$CG$118,SMALL(IF($CF$89:$CF$118=$G$11,ROW($1:$30)),CP107)),"")</f>
        <v/>
      </c>
      <c r="CP107" s="51">
        <v>19</v>
      </c>
    </row>
    <row r="108" spans="84:94" ht="15" x14ac:dyDescent="0.2">
      <c r="CF108" s="80" t="str">
        <f>IF(Akkuliste!A21=0,"",Akkuliste!A21)</f>
        <v>SMILE 5 (2021)</v>
      </c>
      <c r="CG108" s="81" t="str">
        <f>IF(Akkuliste!B21=0,"",Akkuliste!B21)</f>
        <v>SMILE5-BAT</v>
      </c>
      <c r="CH108" s="81">
        <f>IF(Akkuliste!C21=0,"",Akkuliste!C21)</f>
        <v>51.2</v>
      </c>
      <c r="CI108" s="81">
        <f>IF(Akkuliste!D21=0,"",Akkuliste!D21)</f>
        <v>56</v>
      </c>
      <c r="CJ108" s="81">
        <f>IF(Akkuliste!E21=0,"",Akkuliste!E21)</f>
        <v>56</v>
      </c>
      <c r="CK108" s="81">
        <f>IF(Akkuliste!F21=0,"",Akkuliste!F21)</f>
        <v>56</v>
      </c>
      <c r="CL108" s="81">
        <f>IF(Akkuliste!G21=0,"",Akkuliste!G21)</f>
        <v>5.7344000000000008</v>
      </c>
      <c r="CM108" s="81">
        <f>IF(Akkuliste!H21=0,"",Akkuliste!H21)</f>
        <v>5.5050240000000006</v>
      </c>
      <c r="CN108" s="51" t="str">
        <f ca="1">Akkuliste!K21</f>
        <v>SMILE T10 (2021)</v>
      </c>
      <c r="CO108" s="51" t="str">
        <f t="array" ref="CO108">IFERROR(INDEX($CG$89:$CG$118,SMALL(IF($CF$89:$CF$118=$G$11,ROW($1:$30)),CP108)),"")</f>
        <v/>
      </c>
      <c r="CP108" s="51">
        <v>20</v>
      </c>
    </row>
    <row r="109" spans="84:94" ht="15" x14ac:dyDescent="0.2">
      <c r="CF109" s="83" t="str">
        <f>IF(Akkuliste!A22=0,"",Akkuliste!A22)</f>
        <v>SMILE 5 (2021)</v>
      </c>
      <c r="CG109" s="84" t="str">
        <f>IF(Akkuliste!B22=0,"",Akkuliste!B22)</f>
        <v>M4856-P</v>
      </c>
      <c r="CH109" s="84">
        <f>IF(Akkuliste!C22=0,"",Akkuliste!C22)</f>
        <v>51.2</v>
      </c>
      <c r="CI109" s="84">
        <f>IF(Akkuliste!D22=0,"",Akkuliste!D22)</f>
        <v>56</v>
      </c>
      <c r="CJ109" s="84">
        <f>IF(Akkuliste!E22=0,"",Akkuliste!E22)</f>
        <v>56</v>
      </c>
      <c r="CK109" s="84">
        <f>IF(Akkuliste!F22=0,"",Akkuliste!F22)</f>
        <v>56</v>
      </c>
      <c r="CL109" s="84">
        <f>IF(Akkuliste!G22=0,"",Akkuliste!G22)</f>
        <v>2.8672000000000004</v>
      </c>
      <c r="CM109" s="84">
        <f>IF(Akkuliste!H22=0,"",Akkuliste!H22)</f>
        <v>2.7525120000000003</v>
      </c>
      <c r="CN109" s="51" t="str">
        <f ca="1">Akkuliste!K22</f>
        <v>STORION T50</v>
      </c>
      <c r="CO109" s="51" t="str">
        <f t="array" ref="CO109">IFERROR(INDEX($CG$89:$CG$118,SMALL(IF($CF$89:$CF$118=$G$11,ROW($1:$30)),CP109)),"")</f>
        <v/>
      </c>
      <c r="CP109" s="51">
        <v>21</v>
      </c>
    </row>
    <row r="110" spans="84:94" ht="14.25" customHeight="1" x14ac:dyDescent="0.2">
      <c r="CF110" s="80" t="str">
        <f>IF(Akkuliste!A23=0,"",Akkuliste!A23)</f>
        <v>SMILE T10 (2021)</v>
      </c>
      <c r="CG110" s="81" t="str">
        <f>IF(Akkuliste!B23=0,"",Akkuliste!B23)</f>
        <v>M4856-S</v>
      </c>
      <c r="CH110" s="81">
        <f>IF(Akkuliste!C23=0,"",Akkuliste!C23)</f>
        <v>51.2</v>
      </c>
      <c r="CI110" s="81">
        <f>IF(Akkuliste!D23=0,"",Akkuliste!D23)</f>
        <v>56</v>
      </c>
      <c r="CJ110" s="81">
        <f>IF(Akkuliste!E23=0,"",Akkuliste!E23)</f>
        <v>56</v>
      </c>
      <c r="CK110" s="81">
        <f>IF(Akkuliste!F23=0,"",Akkuliste!F23)</f>
        <v>56</v>
      </c>
      <c r="CL110" s="81">
        <f>IF(Akkuliste!G23=0,"",Akkuliste!G23)</f>
        <v>2.8672000000000004</v>
      </c>
      <c r="CM110" s="81">
        <f>IF(Akkuliste!H23=0,"",Akkuliste!H23)</f>
        <v>2.5804800000000006</v>
      </c>
      <c r="CN110" s="51" t="str">
        <f ca="1">Akkuliste!K23</f>
        <v>STORION T100</v>
      </c>
      <c r="CO110" s="51" t="str">
        <f t="array" ref="CO110">IFERROR(INDEX($CG$89:$CG$118,SMALL(IF($CF$89:$CF$118=$G$11,ROW($1:$30)),CP110)),"")</f>
        <v/>
      </c>
      <c r="CP110" s="51">
        <v>22</v>
      </c>
    </row>
    <row r="111" spans="84:94" ht="14.25" customHeight="1" x14ac:dyDescent="0.2">
      <c r="CF111" s="83" t="str">
        <f>IF(Akkuliste!A24=0,"",Akkuliste!A24)</f>
        <v>SMILE 5 (2021)</v>
      </c>
      <c r="CG111" s="84" t="str">
        <f>IF(Akkuliste!B24=0,"",Akkuliste!B24)</f>
        <v>SMILE5-BAT-5.8P</v>
      </c>
      <c r="CH111" s="84">
        <f>IF(Akkuliste!C24=0,"",Akkuliste!C24)</f>
        <v>51.2</v>
      </c>
      <c r="CI111" s="84">
        <f>IF(Akkuliste!D24=0,"",Akkuliste!D24)</f>
        <v>56</v>
      </c>
      <c r="CJ111" s="84">
        <f>IF(Akkuliste!E24=0,"",Akkuliste!E24)</f>
        <v>56</v>
      </c>
      <c r="CK111" s="84">
        <f>IF(Akkuliste!F24=0,"",Akkuliste!F24)</f>
        <v>56</v>
      </c>
      <c r="CL111" s="84">
        <f>IF(Akkuliste!G24=0,"",Akkuliste!G24)</f>
        <v>5.8</v>
      </c>
      <c r="CM111" s="84">
        <f>IF(Akkuliste!H24=0,"",Akkuliste!H24)</f>
        <v>5.22</v>
      </c>
      <c r="CN111" s="51" t="str">
        <f ca="1">Akkuliste!K24</f>
        <v/>
      </c>
      <c r="CO111" s="51" t="str">
        <f t="array" ref="CO111">IFERROR(INDEX($CG$89:$CG$118,SMALL(IF($CF$89:$CF$118=$G$11,ROW($1:$30)),CP111)),"")</f>
        <v/>
      </c>
      <c r="CP111" s="51">
        <v>23</v>
      </c>
    </row>
    <row r="112" spans="84:94" ht="15" x14ac:dyDescent="0.2">
      <c r="CF112" s="80" t="str">
        <f>IF(Akkuliste!A25=0,"",Akkuliste!A25)</f>
        <v>STORION T50</v>
      </c>
      <c r="CG112" s="81" t="str">
        <f>IF(Akkuliste!B25=0,"",Akkuliste!B25)</f>
        <v>M48112-S</v>
      </c>
      <c r="CH112" s="81">
        <f>IF(Akkuliste!C25=0,"",Akkuliste!C25)</f>
        <v>51.2</v>
      </c>
      <c r="CI112" s="81">
        <f>IF(Akkuliste!D25=0,"",Akkuliste!D25)</f>
        <v>112</v>
      </c>
      <c r="CJ112" s="81">
        <f>IF(Akkuliste!E25=0,"",Akkuliste!E25)</f>
        <v>112</v>
      </c>
      <c r="CK112" s="81">
        <f>IF(Akkuliste!F25=0,"",Akkuliste!F25)</f>
        <v>112</v>
      </c>
      <c r="CL112" s="81">
        <f>IF(Akkuliste!G25=0,"",Akkuliste!G25)</f>
        <v>5.7344000000000008</v>
      </c>
      <c r="CM112" s="81">
        <f>IF(Akkuliste!H25=0,"",Akkuliste!H25)</f>
        <v>5.1609600000000011</v>
      </c>
      <c r="CN112" s="51" t="str">
        <f ca="1">Akkuliste!K25</f>
        <v/>
      </c>
      <c r="CO112" s="51" t="str">
        <f t="array" ref="CO112">IFERROR(INDEX($CG$89:$CG$118,SMALL(IF($CF$89:$CF$118=$G$11,ROW($1:$30)),CP112)),"")</f>
        <v/>
      </c>
      <c r="CP112" s="51">
        <v>24</v>
      </c>
    </row>
    <row r="113" spans="84:94" ht="15" x14ac:dyDescent="0.2">
      <c r="CF113" s="83" t="str">
        <f>IF(Akkuliste!A26=0,"",Akkuliste!A26)</f>
        <v>STORION T100</v>
      </c>
      <c r="CG113" s="84" t="str">
        <f>IF(Akkuliste!B26=0,"",Akkuliste!B26)</f>
        <v>M48112-S</v>
      </c>
      <c r="CH113" s="84">
        <f>IF(Akkuliste!C26=0,"",Akkuliste!C26)</f>
        <v>51.2</v>
      </c>
      <c r="CI113" s="84">
        <f>IF(Akkuliste!D26=0,"",Akkuliste!D26)</f>
        <v>112</v>
      </c>
      <c r="CJ113" s="84">
        <f>IF(Akkuliste!E26=0,"",Akkuliste!E26)</f>
        <v>112</v>
      </c>
      <c r="CK113" s="84">
        <f>IF(Akkuliste!F26=0,"",Akkuliste!F26)</f>
        <v>112</v>
      </c>
      <c r="CL113" s="84">
        <f>IF(Akkuliste!G26=0,"",Akkuliste!G26)</f>
        <v>5.7344000000000008</v>
      </c>
      <c r="CM113" s="84">
        <f>IF(Akkuliste!H26=0,"",Akkuliste!H26)</f>
        <v>5.1609600000000011</v>
      </c>
      <c r="CN113" s="51" t="str">
        <f ca="1">Akkuliste!K26</f>
        <v/>
      </c>
      <c r="CO113" s="51" t="str">
        <f t="array" ref="CO113">IFERROR(INDEX($CG$89:$CG$118,SMALL(IF($CF$89:$CF$118=$G$11,ROW($1:$30)),CP113)),"")</f>
        <v/>
      </c>
      <c r="CP113" s="51">
        <v>25</v>
      </c>
    </row>
    <row r="114" spans="84:94" ht="15" x14ac:dyDescent="0.2">
      <c r="CF114" s="80" t="str">
        <f>IF(Akkuliste!A31=0,"",Akkuliste!A31)</f>
        <v/>
      </c>
      <c r="CG114" s="81" t="str">
        <f>IF(Akkuliste!B31=0,"",Akkuliste!B31)</f>
        <v/>
      </c>
      <c r="CH114" s="81" t="str">
        <f>IF(Akkuliste!C31=0,"",Akkuliste!C31)</f>
        <v/>
      </c>
      <c r="CI114" s="81" t="str">
        <f>IF(Akkuliste!D31=0,"",Akkuliste!D31)</f>
        <v/>
      </c>
      <c r="CJ114" s="81" t="str">
        <f>IF(Akkuliste!E31=0,"",Akkuliste!E31)</f>
        <v/>
      </c>
      <c r="CK114" s="81" t="str">
        <f>IF(Akkuliste!F31=0,"",Akkuliste!F31)</f>
        <v/>
      </c>
      <c r="CL114" s="81" t="str">
        <f>IF(Akkuliste!G31=0,"",Akkuliste!G31)</f>
        <v/>
      </c>
      <c r="CM114" s="81" t="str">
        <f>IF(Akkuliste!H31=0,"",Akkuliste!H31)</f>
        <v/>
      </c>
      <c r="CN114" s="51">
        <f>Akkuliste!K31</f>
        <v>0</v>
      </c>
      <c r="CO114" s="51" t="str">
        <f t="array" ref="CO114">IFERROR(INDEX($CG$89:$CG$118,SMALL(IF($CF$89:$CF$118=$G$11,ROW($1:$30)),CP114)),"")</f>
        <v/>
      </c>
      <c r="CP114" s="51">
        <v>26</v>
      </c>
    </row>
    <row r="115" spans="84:94" ht="15" x14ac:dyDescent="0.2">
      <c r="CF115" s="83" t="str">
        <f>IF(Akkuliste!A32=0,"",Akkuliste!A32)</f>
        <v/>
      </c>
      <c r="CG115" s="84" t="str">
        <f>IF(Akkuliste!B32=0,"",Akkuliste!B32)</f>
        <v/>
      </c>
      <c r="CH115" s="84" t="str">
        <f>IF(Akkuliste!C32=0,"",Akkuliste!C32)</f>
        <v/>
      </c>
      <c r="CI115" s="84" t="str">
        <f>IF(Akkuliste!D32=0,"",Akkuliste!D32)</f>
        <v/>
      </c>
      <c r="CJ115" s="84" t="str">
        <f>IF(Akkuliste!E32=0,"",Akkuliste!E32)</f>
        <v/>
      </c>
      <c r="CK115" s="84" t="str">
        <f>IF(Akkuliste!F32=0,"",Akkuliste!F32)</f>
        <v/>
      </c>
      <c r="CL115" s="84" t="str">
        <f>IF(Akkuliste!G32=0,"",Akkuliste!G32)</f>
        <v/>
      </c>
      <c r="CM115" s="84" t="str">
        <f>IF(Akkuliste!H32=0,"",Akkuliste!H32)</f>
        <v/>
      </c>
      <c r="CN115" s="51">
        <f>Akkuliste!K32</f>
        <v>0</v>
      </c>
      <c r="CO115" s="51" t="str">
        <f t="array" ref="CO115">IFERROR(INDEX($CG$89:$CG$118,SMALL(IF($CF$89:$CF$118=$G$11,ROW($1:$30)),CP115)),"")</f>
        <v/>
      </c>
      <c r="CP115" s="51">
        <v>27</v>
      </c>
    </row>
    <row r="116" spans="84:94" ht="15" x14ac:dyDescent="0.2">
      <c r="CF116" s="80" t="str">
        <f>IF(Akkuliste!A33=0,"",Akkuliste!A33)</f>
        <v/>
      </c>
      <c r="CG116" s="81" t="str">
        <f>IF(Akkuliste!B33=0,"",Akkuliste!B33)</f>
        <v/>
      </c>
      <c r="CH116" s="81" t="str">
        <f>IF(Akkuliste!C33=0,"",Akkuliste!C33)</f>
        <v/>
      </c>
      <c r="CI116" s="81" t="str">
        <f>IF(Akkuliste!D33=0,"",Akkuliste!D33)</f>
        <v/>
      </c>
      <c r="CJ116" s="81" t="str">
        <f>IF(Akkuliste!E33=0,"",Akkuliste!E33)</f>
        <v/>
      </c>
      <c r="CK116" s="81" t="str">
        <f>IF(Akkuliste!F33=0,"",Akkuliste!F33)</f>
        <v/>
      </c>
      <c r="CL116" s="81" t="str">
        <f>IF(Akkuliste!G33=0,"",Akkuliste!G33)</f>
        <v/>
      </c>
      <c r="CM116" s="81" t="str">
        <f>IF(Akkuliste!H33=0,"",Akkuliste!H33)</f>
        <v/>
      </c>
      <c r="CN116" s="51">
        <f>Akkuliste!K33</f>
        <v>0</v>
      </c>
      <c r="CO116" s="51" t="str">
        <f t="array" ref="CO116">IFERROR(INDEX($CG$89:$CG$118,SMALL(IF($CF$89:$CF$118=$G$11,ROW($1:$30)),CP116)),"")</f>
        <v/>
      </c>
      <c r="CP116" s="51">
        <v>28</v>
      </c>
    </row>
    <row r="117" spans="84:94" ht="15" x14ac:dyDescent="0.2">
      <c r="CF117" s="83" t="str">
        <f>IF(Akkuliste!A34=0,"",Akkuliste!A34)</f>
        <v/>
      </c>
      <c r="CG117" s="84" t="str">
        <f>IF(Akkuliste!B34=0,"",Akkuliste!B34)</f>
        <v/>
      </c>
      <c r="CH117" s="84" t="str">
        <f>IF(Akkuliste!C34=0,"",Akkuliste!C34)</f>
        <v/>
      </c>
      <c r="CI117" s="84" t="str">
        <f>IF(Akkuliste!D34=0,"",Akkuliste!D34)</f>
        <v/>
      </c>
      <c r="CJ117" s="84" t="str">
        <f>IF(Akkuliste!E34=0,"",Akkuliste!E34)</f>
        <v/>
      </c>
      <c r="CK117" s="84" t="str">
        <f>IF(Akkuliste!F34=0,"",Akkuliste!F34)</f>
        <v/>
      </c>
      <c r="CL117" s="84" t="str">
        <f>IF(Akkuliste!G34=0,"",Akkuliste!G34)</f>
        <v/>
      </c>
      <c r="CM117" s="84" t="str">
        <f>IF(Akkuliste!H34=0,"",Akkuliste!H34)</f>
        <v/>
      </c>
      <c r="CN117" s="51">
        <f>Akkuliste!K34</f>
        <v>0</v>
      </c>
      <c r="CO117" s="51" t="str">
        <f t="array" ref="CO117">IFERROR(INDEX($CG$89:$CG$118,SMALL(IF($CF$89:$CF$118=$G$11,ROW($1:$30)),CP117)),"")</f>
        <v/>
      </c>
      <c r="CP117" s="51">
        <v>29</v>
      </c>
    </row>
    <row r="118" spans="84:94" ht="15.75" thickBot="1" x14ac:dyDescent="0.25">
      <c r="CF118" s="86" t="str">
        <f>IF(Akkuliste!A35=0,"",Akkuliste!A35)</f>
        <v/>
      </c>
      <c r="CG118" s="87" t="str">
        <f>IF(Akkuliste!B35=0,"",Akkuliste!B35)</f>
        <v/>
      </c>
      <c r="CH118" s="87" t="str">
        <f>IF(Akkuliste!C35=0,"",Akkuliste!C35)</f>
        <v/>
      </c>
      <c r="CI118" s="87" t="str">
        <f>IF(Akkuliste!D35=0,"",Akkuliste!D35)</f>
        <v/>
      </c>
      <c r="CJ118" s="87" t="str">
        <f>IF(Akkuliste!E35=0,"",Akkuliste!E35)</f>
        <v/>
      </c>
      <c r="CK118" s="87" t="str">
        <f>IF(Akkuliste!F35=0,"",Akkuliste!F35)</f>
        <v/>
      </c>
      <c r="CL118" s="87" t="str">
        <f>IF(Akkuliste!G35=0,"",Akkuliste!G35)</f>
        <v/>
      </c>
      <c r="CM118" s="87" t="str">
        <f>IF(Akkuliste!H35=0,"",Akkuliste!H35)</f>
        <v/>
      </c>
      <c r="CN118" s="52" t="str">
        <f ca="1">Akkuliste!K35</f>
        <v/>
      </c>
      <c r="CO118" s="52" t="str">
        <f t="array" ref="CO118">IFERROR(INDEX($CG$89:$CG$118,SMALL(IF($CF$89:$CF$118=$G$11,ROW($1:$30)),CP118)),"")</f>
        <v/>
      </c>
      <c r="CP118" s="52">
        <v>30</v>
      </c>
    </row>
  </sheetData>
  <sheetProtection algorithmName="SHA-512" hashValue="/mmaGzROo7iXvxH8fwTk3blykdVj1mC37zlx9eDNiQUimr1PM93GdpriQiYetR4zOsmxuzsOKP2vZP3qtZCLfA==" saltValue="epGOWQTg5MS7UZkMlR+t4g==" spinCount="100000" sheet="1" objects="1" scenarios="1" selectLockedCells="1"/>
  <mergeCells count="171">
    <mergeCell ref="BQ12:BT12"/>
    <mergeCell ref="BQ13:BT14"/>
    <mergeCell ref="CA37:CB37"/>
    <mergeCell ref="CA41:CB41"/>
    <mergeCell ref="H70:I70"/>
    <mergeCell ref="BZ40:CB40"/>
    <mergeCell ref="CA42:CB42"/>
    <mergeCell ref="CA43:CB43"/>
    <mergeCell ref="M12:N12"/>
    <mergeCell ref="BG13:BJ14"/>
    <mergeCell ref="BL12:BO12"/>
    <mergeCell ref="BL13:BO14"/>
    <mergeCell ref="BO27:CA27"/>
    <mergeCell ref="BI28:BK28"/>
    <mergeCell ref="BO28:CA28"/>
    <mergeCell ref="BJ29:BK29"/>
    <mergeCell ref="BO29:CA29"/>
    <mergeCell ref="BO30:CA30"/>
    <mergeCell ref="AC27:AE27"/>
    <mergeCell ref="AI27:AU27"/>
    <mergeCell ref="AC28:AE28"/>
    <mergeCell ref="AI28:AU28"/>
    <mergeCell ref="AD29:AE29"/>
    <mergeCell ref="AI29:AU29"/>
    <mergeCell ref="E68:F68"/>
    <mergeCell ref="V37:AE37"/>
    <mergeCell ref="AZ38:BB39"/>
    <mergeCell ref="BG38:BI39"/>
    <mergeCell ref="AZ41:BB42"/>
    <mergeCell ref="BG41:BI42"/>
    <mergeCell ref="AZ44:BB45"/>
    <mergeCell ref="BG44:BI45"/>
    <mergeCell ref="AZ47:BB48"/>
    <mergeCell ref="BG47:BI48"/>
    <mergeCell ref="AW37:AX38"/>
    <mergeCell ref="AW43:AX44"/>
    <mergeCell ref="AE39:AG40"/>
    <mergeCell ref="AL39:AN40"/>
    <mergeCell ref="AW55:AX56"/>
    <mergeCell ref="BD49:BE50"/>
    <mergeCell ref="J40:L40"/>
    <mergeCell ref="AT56:AU57"/>
    <mergeCell ref="J60:K60"/>
    <mergeCell ref="J55:K55"/>
    <mergeCell ref="J57:K57"/>
    <mergeCell ref="J59:K59"/>
    <mergeCell ref="R45:R50"/>
    <mergeCell ref="AH42:AK42"/>
    <mergeCell ref="BO22:CA22"/>
    <mergeCell ref="A63:CD65"/>
    <mergeCell ref="AG58:AL60"/>
    <mergeCell ref="AH44:AI45"/>
    <mergeCell ref="AJ44:AK45"/>
    <mergeCell ref="AH46:AK48"/>
    <mergeCell ref="AZ59:BB60"/>
    <mergeCell ref="BG59:BI60"/>
    <mergeCell ref="Y44:AB45"/>
    <mergeCell ref="U47:X48"/>
    <mergeCell ref="AR44:AS45"/>
    <mergeCell ref="AT44:AU45"/>
    <mergeCell ref="AT46:AU46"/>
    <mergeCell ref="AT52:AU52"/>
    <mergeCell ref="AT58:AU58"/>
    <mergeCell ref="AZ50:BB51"/>
    <mergeCell ref="BG50:BI51"/>
    <mergeCell ref="AZ53:BB54"/>
    <mergeCell ref="BG53:BI54"/>
    <mergeCell ref="AZ56:BB57"/>
    <mergeCell ref="BG56:BI57"/>
    <mergeCell ref="AW49:AX50"/>
    <mergeCell ref="A50:O51"/>
    <mergeCell ref="J53:K53"/>
    <mergeCell ref="BV12:CB12"/>
    <mergeCell ref="BV13:CB14"/>
    <mergeCell ref="AY13:BE14"/>
    <mergeCell ref="AY12:BE12"/>
    <mergeCell ref="BG12:BJ12"/>
    <mergeCell ref="R11:AV15"/>
    <mergeCell ref="AR38:AS39"/>
    <mergeCell ref="AT38:AU39"/>
    <mergeCell ref="R17:AV17"/>
    <mergeCell ref="R25:AV25"/>
    <mergeCell ref="AI21:AU21"/>
    <mergeCell ref="AI22:AU22"/>
    <mergeCell ref="AX17:CB17"/>
    <mergeCell ref="BG18:BI18"/>
    <mergeCell ref="BJ18:BL18"/>
    <mergeCell ref="BS18:BU18"/>
    <mergeCell ref="BL34:CD35"/>
    <mergeCell ref="AX25:CB25"/>
    <mergeCell ref="BG26:BI26"/>
    <mergeCell ref="BJ26:BL26"/>
    <mergeCell ref="BS26:BU26"/>
    <mergeCell ref="BI27:BK27"/>
    <mergeCell ref="AA26:AC26"/>
    <mergeCell ref="AD26:AF26"/>
    <mergeCell ref="J21:L21"/>
    <mergeCell ref="K19:L19"/>
    <mergeCell ref="A26:O27"/>
    <mergeCell ref="A33:O34"/>
    <mergeCell ref="Q34:BJ35"/>
    <mergeCell ref="AI38:AJ39"/>
    <mergeCell ref="J36:L36"/>
    <mergeCell ref="J38:L38"/>
    <mergeCell ref="J39:L39"/>
    <mergeCell ref="BD37:BE38"/>
    <mergeCell ref="AD30:AE30"/>
    <mergeCell ref="AI30:AU30"/>
    <mergeCell ref="CF1:CI1"/>
    <mergeCell ref="B2:AG3"/>
    <mergeCell ref="AO2:BO3"/>
    <mergeCell ref="BU2:CC3"/>
    <mergeCell ref="A7:O8"/>
    <mergeCell ref="Q7:CD8"/>
    <mergeCell ref="K18:L18"/>
    <mergeCell ref="AD21:AE21"/>
    <mergeCell ref="AC20:AE20"/>
    <mergeCell ref="H13:N13"/>
    <mergeCell ref="K15:L15"/>
    <mergeCell ref="B9:N10"/>
    <mergeCell ref="AA18:AC18"/>
    <mergeCell ref="AD18:AF18"/>
    <mergeCell ref="AM18:AO18"/>
    <mergeCell ref="AX10:CC10"/>
    <mergeCell ref="R10:AV10"/>
    <mergeCell ref="BI19:BK19"/>
    <mergeCell ref="BO19:CA19"/>
    <mergeCell ref="BI20:BK20"/>
    <mergeCell ref="BO20:CA20"/>
    <mergeCell ref="BJ21:BK21"/>
    <mergeCell ref="BO21:CA21"/>
    <mergeCell ref="AI19:AU19"/>
    <mergeCell ref="BN42:BQ42"/>
    <mergeCell ref="J45:L45"/>
    <mergeCell ref="J46:L46"/>
    <mergeCell ref="J47:L47"/>
    <mergeCell ref="BD58:BE59"/>
    <mergeCell ref="AR56:AS57"/>
    <mergeCell ref="BR42:BU42"/>
    <mergeCell ref="BN43:BQ43"/>
    <mergeCell ref="BR43:BU43"/>
    <mergeCell ref="BD52:BE53"/>
    <mergeCell ref="BD55:BE56"/>
    <mergeCell ref="AH52:AI53"/>
    <mergeCell ref="AJ52:AK53"/>
    <mergeCell ref="AH54:AI55"/>
    <mergeCell ref="AJ54:AK55"/>
    <mergeCell ref="G11:N11"/>
    <mergeCell ref="BD40:BE41"/>
    <mergeCell ref="AM26:AO26"/>
    <mergeCell ref="BJ30:BK30"/>
    <mergeCell ref="AT40:AU40"/>
    <mergeCell ref="BJ22:BK22"/>
    <mergeCell ref="H29:N29"/>
    <mergeCell ref="H30:N30"/>
    <mergeCell ref="AR50:AS51"/>
    <mergeCell ref="AT50:AU51"/>
    <mergeCell ref="AE51:AN51"/>
    <mergeCell ref="AI20:AU20"/>
    <mergeCell ref="Y38:Z39"/>
    <mergeCell ref="AA40:AB41"/>
    <mergeCell ref="AA38:AB39"/>
    <mergeCell ref="Y40:Z41"/>
    <mergeCell ref="AC19:AE19"/>
    <mergeCell ref="J20:L20"/>
    <mergeCell ref="AD22:AE22"/>
    <mergeCell ref="K23:L23"/>
    <mergeCell ref="J41:L41"/>
    <mergeCell ref="BD43:BE44"/>
    <mergeCell ref="BD46:BE47"/>
    <mergeCell ref="K22:L22"/>
  </mergeCells>
  <conditionalFormatting sqref="B13:N15">
    <cfRule type="expression" dxfId="50" priority="2">
      <formula>$M$12="ja"</formula>
    </cfRule>
  </conditionalFormatting>
  <conditionalFormatting sqref="F13">
    <cfRule type="expression" dxfId="49" priority="157">
      <formula>$CL$16&lt;$CL$15</formula>
    </cfRule>
  </conditionalFormatting>
  <conditionalFormatting sqref="H13">
    <cfRule type="expression" dxfId="48" priority="542">
      <formula>COUNTIF($CO$89:$CO$118,$H$13)&lt;1</formula>
    </cfRule>
  </conditionalFormatting>
  <conditionalFormatting sqref="H30:N30">
    <cfRule type="expression" dxfId="47" priority="543">
      <formula>COUNTIF($CQ$57:$CQ$86,$H$30)&lt;1</formula>
    </cfRule>
  </conditionalFormatting>
  <conditionalFormatting sqref="R17:AV23">
    <cfRule type="expression" dxfId="46" priority="6">
      <formula>$AU$41=0</formula>
    </cfRule>
  </conditionalFormatting>
  <conditionalFormatting sqref="R25:AV31">
    <cfRule type="expression" dxfId="45" priority="5">
      <formula>$AU$47=0</formula>
    </cfRule>
  </conditionalFormatting>
  <conditionalFormatting sqref="V43:AC45">
    <cfRule type="expression" dxfId="44" priority="43">
      <formula>$AG$42=0</formula>
    </cfRule>
  </conditionalFormatting>
  <conditionalFormatting sqref="V37:AO42">
    <cfRule type="expression" dxfId="43" priority="44">
      <formula>$AG$42=0</formula>
    </cfRule>
  </conditionalFormatting>
  <conditionalFormatting sqref="W46 AA46:AA47">
    <cfRule type="expression" dxfId="42" priority="45">
      <formula>$AG$42=0</formula>
    </cfRule>
  </conditionalFormatting>
  <conditionalFormatting sqref="AI19">
    <cfRule type="expression" dxfId="41" priority="517">
      <formula>AI19="zu hoch"</formula>
    </cfRule>
    <cfRule type="expression" dxfId="40" priority="516">
      <formula>AI19="OK"</formula>
    </cfRule>
  </conditionalFormatting>
  <conditionalFormatting sqref="AI20">
    <cfRule type="expression" dxfId="39" priority="522">
      <formula>OR(AI20="zu wenig Module in Reihe",AI20="zu viele Module in Reihe")</formula>
    </cfRule>
  </conditionalFormatting>
  <conditionalFormatting sqref="AI20:AI22">
    <cfRule type="expression" dxfId="38" priority="512">
      <formula>AI20="OK"</formula>
    </cfRule>
  </conditionalFormatting>
  <conditionalFormatting sqref="AI27">
    <cfRule type="expression" dxfId="37" priority="19">
      <formula>AI27="OK"</formula>
    </cfRule>
    <cfRule type="expression" dxfId="36" priority="20">
      <formula>AI27="zu hoch"</formula>
    </cfRule>
  </conditionalFormatting>
  <conditionalFormatting sqref="AI28">
    <cfRule type="expression" dxfId="35" priority="22">
      <formula>OR(AI28="zu wenig Module in Reihe",AI28="zu viele Module in Reihe")</formula>
    </cfRule>
  </conditionalFormatting>
  <conditionalFormatting sqref="AI28:AI30">
    <cfRule type="expression" dxfId="34" priority="21">
      <formula>AI28="OK"</formula>
    </cfRule>
  </conditionalFormatting>
  <conditionalFormatting sqref="AP39:AP56 AL52:AO53">
    <cfRule type="expression" dxfId="33" priority="47">
      <formula>$AY$13="AC"</formula>
    </cfRule>
  </conditionalFormatting>
  <conditionalFormatting sqref="AQ44">
    <cfRule type="expression" dxfId="32" priority="54">
      <formula>$AU$47=0</formula>
    </cfRule>
  </conditionalFormatting>
  <conditionalFormatting sqref="AQ50">
    <cfRule type="expression" dxfId="31" priority="51">
      <formula>$AU$53=0</formula>
    </cfRule>
  </conditionalFormatting>
  <conditionalFormatting sqref="AQ37:BI42 AP43:AP44">
    <cfRule type="expression" dxfId="30" priority="57">
      <formula>$AU$41=0</formula>
    </cfRule>
  </conditionalFormatting>
  <conditionalFormatting sqref="AQ55:BI60 AQ54">
    <cfRule type="expression" dxfId="29" priority="49">
      <formula>$AU$59=0</formula>
    </cfRule>
  </conditionalFormatting>
  <conditionalFormatting sqref="AR38:AU40">
    <cfRule type="expression" dxfId="28" priority="56">
      <formula>$AT$40="nein"</formula>
    </cfRule>
  </conditionalFormatting>
  <conditionalFormatting sqref="AR44:AU46">
    <cfRule type="expression" dxfId="27" priority="53">
      <formula>$AT$46="nein"</formula>
    </cfRule>
  </conditionalFormatting>
  <conditionalFormatting sqref="AR50:AU52">
    <cfRule type="expression" dxfId="26" priority="50">
      <formula>$AT$52="nein"</formula>
    </cfRule>
  </conditionalFormatting>
  <conditionalFormatting sqref="AR56:AU58">
    <cfRule type="expression" dxfId="25" priority="48">
      <formula>$AT$58="nein"</formula>
    </cfRule>
  </conditionalFormatting>
  <conditionalFormatting sqref="AR43:BI48">
    <cfRule type="expression" dxfId="24" priority="55">
      <formula>$AU$47=0</formula>
    </cfRule>
  </conditionalFormatting>
  <conditionalFormatting sqref="AR49:BI54">
    <cfRule type="expression" dxfId="23" priority="52">
      <formula>$AU$53=0</formula>
    </cfRule>
  </conditionalFormatting>
  <conditionalFormatting sqref="AW11:AX15">
    <cfRule type="expression" dxfId="22" priority="527">
      <formula>$K$22=0</formula>
    </cfRule>
  </conditionalFormatting>
  <conditionalFormatting sqref="AX39:AY41">
    <cfRule type="expression" dxfId="21" priority="65">
      <formula>$AW$37&lt;2</formula>
    </cfRule>
  </conditionalFormatting>
  <conditionalFormatting sqref="AX45:AY47">
    <cfRule type="expression" dxfId="20" priority="63">
      <formula>$AW$43&lt;2</formula>
    </cfRule>
  </conditionalFormatting>
  <conditionalFormatting sqref="AX51:AY53">
    <cfRule type="expression" dxfId="19" priority="62">
      <formula>$AW$49&lt;2</formula>
    </cfRule>
  </conditionalFormatting>
  <conditionalFormatting sqref="AX57:AY59">
    <cfRule type="expression" dxfId="18" priority="61">
      <formula>$AW$55&lt;2</formula>
    </cfRule>
  </conditionalFormatting>
  <conditionalFormatting sqref="AX17:CB23">
    <cfRule type="expression" dxfId="17" priority="4">
      <formula>$AU$53=0</formula>
    </cfRule>
  </conditionalFormatting>
  <conditionalFormatting sqref="AX25:CB31">
    <cfRule type="expression" dxfId="16" priority="3">
      <formula>$AU$59=0</formula>
    </cfRule>
  </conditionalFormatting>
  <conditionalFormatting sqref="AZ41:BI42">
    <cfRule type="expression" dxfId="15" priority="64">
      <formula>$AW$37&lt;2</formula>
    </cfRule>
  </conditionalFormatting>
  <conditionalFormatting sqref="AZ47:BI48">
    <cfRule type="expression" dxfId="14" priority="60">
      <formula>$AW$43&lt;2</formula>
    </cfRule>
  </conditionalFormatting>
  <conditionalFormatting sqref="AZ53:BI54">
    <cfRule type="expression" dxfId="13" priority="59">
      <formula>$AW$49&lt;2</formula>
    </cfRule>
  </conditionalFormatting>
  <conditionalFormatting sqref="AZ59:BI60">
    <cfRule type="expression" dxfId="12" priority="58">
      <formula>$AW$55&lt;2</formula>
    </cfRule>
  </conditionalFormatting>
  <conditionalFormatting sqref="BO19">
    <cfRule type="expression" dxfId="11" priority="8">
      <formula>BO19="zu hoch"</formula>
    </cfRule>
    <cfRule type="expression" dxfId="10" priority="7">
      <formula>BO19="OK"</formula>
    </cfRule>
  </conditionalFormatting>
  <conditionalFormatting sqref="BO20">
    <cfRule type="expression" dxfId="9" priority="10">
      <formula>OR(BO20="zu wenig Module in Reihe",BO20="zu viele Module in Reihe")</formula>
    </cfRule>
  </conditionalFormatting>
  <conditionalFormatting sqref="BO20:BO22">
    <cfRule type="expression" dxfId="8" priority="9">
      <formula>BO20="OK"</formula>
    </cfRule>
  </conditionalFormatting>
  <conditionalFormatting sqref="BO27">
    <cfRule type="expression" dxfId="7" priority="14">
      <formula>BO27="zu hoch"</formula>
    </cfRule>
    <cfRule type="expression" dxfId="6" priority="13">
      <formula>BO27="OK"</formula>
    </cfRule>
  </conditionalFormatting>
  <conditionalFormatting sqref="BO28">
    <cfRule type="expression" dxfId="5" priority="16">
      <formula>OR(BO28="zu wenig Module in Reihe",BO28="zu viele Module in Reihe")</formula>
    </cfRule>
  </conditionalFormatting>
  <conditionalFormatting sqref="BO28:BO30">
    <cfRule type="expression" dxfId="4" priority="15">
      <formula>BO28="OK"</formula>
    </cfRule>
  </conditionalFormatting>
  <dataValidations count="11">
    <dataValidation type="decimal" allowBlank="1" showInputMessage="1" showErrorMessage="1" errorTitle="Temperaturkoeffizient" error="Der Temperaturkoeffizient für die Stromstärke muss positiv sein (z.b. 0,04 %/K)" sqref="J47:L47" xr:uid="{00000000-0002-0000-0000-000000000000}">
      <formula1>0</formula1>
      <formula2>1</formula2>
    </dataValidation>
    <dataValidation type="decimal" allowBlank="1" showInputMessage="1" showErrorMessage="1" errorTitle="Temperaturkoeffizient" error="Der Temperaturkoeffizient für die Spannung muss negativ sein (z.B. -0,35 %/K)" sqref="J46:L46" xr:uid="{00000000-0002-0000-0000-000001000000}">
      <formula1>-1</formula1>
      <formula2>0</formula2>
    </dataValidation>
    <dataValidation type="decimal" allowBlank="1" showInputMessage="1" showErrorMessage="1" errorTitle="Temperaturkoeffizient" error="Der Temperaturkoeffizient für die Leistung muss negativ sein (z.B. -0,45 %/K)" sqref="J45:L45" xr:uid="{00000000-0002-0000-0000-000002000000}">
      <formula1>-1</formula1>
      <formula2>0</formula2>
    </dataValidation>
    <dataValidation type="list" allowBlank="1" showInputMessage="1" showErrorMessage="1" sqref="CC17 CC25 AT40:AU40 AT52:AU52 AT46:AU46 AT58:AU58 M12:N12" xr:uid="{00000000-0002-0000-0000-000003000000}">
      <formula1>"ja,nein"</formula1>
    </dataValidation>
    <dataValidation type="whole" operator="greaterThan" allowBlank="1" showInputMessage="1" showErrorMessage="1" sqref="J53:K53 J55:K55 J57:K57" xr:uid="{00000000-0002-0000-0000-000004000000}">
      <formula1>0</formula1>
    </dataValidation>
    <dataValidation type="list" allowBlank="1" showInputMessage="1" showErrorMessage="1" sqref="H29:N29" xr:uid="{00000000-0002-0000-0000-000006000000}">
      <formula1>OFFSET($CP$57,,,COUNTIF($CP$57:$CP$86,"&gt;"""),)</formula1>
    </dataValidation>
    <dataValidation type="list" allowBlank="1" showInputMessage="1" showErrorMessage="1" sqref="H30" xr:uid="{00000000-0002-0000-0000-000007000000}">
      <formula1>OFFSET($CQ$57,,,COUNTIF($CQ$57:$CQ$86,"&gt;"""),)</formula1>
    </dataValidation>
    <dataValidation type="list" allowBlank="1" showInputMessage="1" showErrorMessage="1" sqref="G11" xr:uid="{00000000-0002-0000-0000-000008000000}">
      <formula1>OFFSET($CN$89,,,COUNTIF($CN$89:$CN$118,"&gt;"""),)</formula1>
    </dataValidation>
    <dataValidation type="whole" allowBlank="1" showInputMessage="1" showErrorMessage="1" errorTitle="Anzahl der Akku-Module ungültig" error="Das gewählte System kann diese Menge Akkus nicht verwalten." sqref="F13" xr:uid="{00000000-0002-0000-0000-00000A000000}">
      <formula1>1</formula1>
      <formula2>CL17</formula2>
    </dataValidation>
    <dataValidation type="list" allowBlank="1" showInputMessage="1" showErrorMessage="1" sqref="H13" xr:uid="{00000000-0002-0000-0000-000009000000}">
      <formula1>OFFSET($CO$89,,,COUNTIF($CO$89:$CO$118,"&gt;"""),)</formula1>
    </dataValidation>
    <dataValidation type="list" operator="greaterThanOrEqual" allowBlank="1" showInputMessage="1" showErrorMessage="1" sqref="AY13" xr:uid="{52CBF614-6269-4B86-887A-C5F5E0C13326}">
      <formula1>"AC,DC,Hybrid"</formula1>
    </dataValidation>
  </dataValidations>
  <printOptions horizontalCentered="1" verticalCentered="1"/>
  <pageMargins left="0.19685039370078741" right="0.19685039370078741" top="0.59055118110236227" bottom="0.19685039370078741" header="0" footer="0.19685039370078741"/>
  <pageSetup paperSize="9" scale="55" orientation="landscape" r:id="rId1"/>
  <headerFooter>
    <oddHeader>&amp;R&amp;"Arial,Fett"&amp;18
Seite &amp;P von &amp;N</oddHeader>
  </headerFooter>
  <rowBreaks count="1" manualBreakCount="1">
    <brk id="6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0FF22-CC9C-4BF6-92FC-6CD7DDF60BF0}">
  <dimension ref="A1:E70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46.28515625" customWidth="1"/>
    <col min="2" max="2" width="40.140625" bestFit="1" customWidth="1"/>
    <col min="3" max="3" width="43.140625" bestFit="1" customWidth="1"/>
    <col min="4" max="4" width="48.140625" bestFit="1" customWidth="1"/>
    <col min="5" max="5" width="36.140625" bestFit="1" customWidth="1"/>
  </cols>
  <sheetData>
    <row r="1" spans="1:5" x14ac:dyDescent="0.25">
      <c r="A1" s="151" t="s">
        <v>210</v>
      </c>
      <c r="B1" s="151" t="s">
        <v>211</v>
      </c>
      <c r="C1" s="151" t="s">
        <v>212</v>
      </c>
      <c r="D1" s="151" t="s">
        <v>213</v>
      </c>
      <c r="E1" s="151" t="s">
        <v>214</v>
      </c>
    </row>
    <row r="2" spans="1:5" x14ac:dyDescent="0.25">
      <c r="A2" s="152" t="s">
        <v>215</v>
      </c>
      <c r="B2" s="152" t="s">
        <v>1</v>
      </c>
      <c r="C2" s="152" t="s">
        <v>216</v>
      </c>
      <c r="D2" s="152" t="s">
        <v>217</v>
      </c>
      <c r="E2" s="152" t="s">
        <v>218</v>
      </c>
    </row>
    <row r="3" spans="1:5" x14ac:dyDescent="0.25">
      <c r="A3" s="152" t="s">
        <v>219</v>
      </c>
      <c r="B3" s="152" t="s">
        <v>220</v>
      </c>
      <c r="C3" s="152" t="s">
        <v>221</v>
      </c>
      <c r="D3" s="152" t="s">
        <v>222</v>
      </c>
      <c r="E3" s="152" t="s">
        <v>223</v>
      </c>
    </row>
    <row r="4" spans="1:5" x14ac:dyDescent="0.25">
      <c r="A4" s="152" t="s">
        <v>224</v>
      </c>
      <c r="B4" s="152" t="s">
        <v>3</v>
      </c>
      <c r="C4" s="152" t="s">
        <v>225</v>
      </c>
      <c r="D4" s="152" t="s">
        <v>226</v>
      </c>
      <c r="E4" s="152" t="s">
        <v>227</v>
      </c>
    </row>
    <row r="5" spans="1:5" x14ac:dyDescent="0.25">
      <c r="A5" s="152" t="s">
        <v>228</v>
      </c>
      <c r="B5" s="153" t="s">
        <v>229</v>
      </c>
      <c r="C5" s="153" t="s">
        <v>230</v>
      </c>
      <c r="D5" s="153" t="s">
        <v>231</v>
      </c>
      <c r="E5" s="153" t="s">
        <v>232</v>
      </c>
    </row>
    <row r="6" spans="1:5" x14ac:dyDescent="0.25">
      <c r="A6" s="152" t="s">
        <v>233</v>
      </c>
      <c r="B6" s="153" t="s">
        <v>234</v>
      </c>
      <c r="C6" s="153" t="s">
        <v>225</v>
      </c>
      <c r="D6" s="152" t="s">
        <v>235</v>
      </c>
      <c r="E6" s="153" t="s">
        <v>227</v>
      </c>
    </row>
    <row r="7" spans="1:5" x14ac:dyDescent="0.25">
      <c r="A7" s="152" t="s">
        <v>236</v>
      </c>
      <c r="B7" s="153" t="s">
        <v>21</v>
      </c>
      <c r="C7" s="153" t="s">
        <v>237</v>
      </c>
      <c r="D7" s="153" t="s">
        <v>238</v>
      </c>
      <c r="E7" s="153" t="s">
        <v>239</v>
      </c>
    </row>
    <row r="8" spans="1:5" x14ac:dyDescent="0.25">
      <c r="A8" s="152" t="s">
        <v>240</v>
      </c>
      <c r="B8" s="153" t="s">
        <v>241</v>
      </c>
      <c r="C8" s="153" t="s">
        <v>242</v>
      </c>
      <c r="D8" s="153" t="s">
        <v>243</v>
      </c>
      <c r="E8" s="153" t="s">
        <v>244</v>
      </c>
    </row>
    <row r="9" spans="1:5" x14ac:dyDescent="0.25">
      <c r="A9" s="152" t="s">
        <v>245</v>
      </c>
      <c r="B9" s="153" t="s">
        <v>246</v>
      </c>
      <c r="C9" s="153" t="s">
        <v>247</v>
      </c>
      <c r="D9" s="153" t="s">
        <v>248</v>
      </c>
      <c r="E9" s="153" t="s">
        <v>249</v>
      </c>
    </row>
    <row r="10" spans="1:5" x14ac:dyDescent="0.25">
      <c r="A10" s="152" t="s">
        <v>250</v>
      </c>
      <c r="B10" s="153" t="s">
        <v>251</v>
      </c>
      <c r="C10" s="153" t="s">
        <v>252</v>
      </c>
      <c r="D10" s="153" t="s">
        <v>253</v>
      </c>
      <c r="E10" s="153" t="s">
        <v>254</v>
      </c>
    </row>
    <row r="11" spans="1:5" x14ac:dyDescent="0.25">
      <c r="A11" s="152" t="s">
        <v>255</v>
      </c>
      <c r="B11" s="153" t="s">
        <v>256</v>
      </c>
      <c r="C11" s="153" t="s">
        <v>257</v>
      </c>
      <c r="D11" s="153" t="s">
        <v>258</v>
      </c>
      <c r="E11" s="153" t="s">
        <v>259</v>
      </c>
    </row>
    <row r="12" spans="1:5" x14ac:dyDescent="0.25">
      <c r="A12" s="152" t="s">
        <v>260</v>
      </c>
      <c r="B12" s="153" t="s">
        <v>261</v>
      </c>
      <c r="C12" s="153" t="s">
        <v>262</v>
      </c>
      <c r="D12" s="153" t="s">
        <v>263</v>
      </c>
      <c r="E12" s="153" t="s">
        <v>264</v>
      </c>
    </row>
    <row r="13" spans="1:5" x14ac:dyDescent="0.25">
      <c r="A13" s="152" t="s">
        <v>265</v>
      </c>
      <c r="B13" s="153" t="s">
        <v>266</v>
      </c>
      <c r="C13" s="153" t="s">
        <v>267</v>
      </c>
      <c r="D13" s="153" t="s">
        <v>268</v>
      </c>
      <c r="E13" s="153" t="s">
        <v>269</v>
      </c>
    </row>
    <row r="14" spans="1:5" x14ac:dyDescent="0.25">
      <c r="A14" s="152" t="s">
        <v>270</v>
      </c>
      <c r="B14" s="153" t="s">
        <v>67</v>
      </c>
      <c r="C14" s="153" t="s">
        <v>271</v>
      </c>
      <c r="D14" s="153" t="s">
        <v>272</v>
      </c>
      <c r="E14" s="153" t="s">
        <v>273</v>
      </c>
    </row>
    <row r="15" spans="1:5" x14ac:dyDescent="0.25">
      <c r="A15" s="152" t="s">
        <v>274</v>
      </c>
      <c r="B15" s="153" t="s">
        <v>275</v>
      </c>
      <c r="C15" s="153" t="s">
        <v>276</v>
      </c>
      <c r="D15" s="153" t="s">
        <v>277</v>
      </c>
      <c r="E15" s="153" t="s">
        <v>278</v>
      </c>
    </row>
    <row r="16" spans="1:5" x14ac:dyDescent="0.25">
      <c r="A16" s="152" t="s">
        <v>279</v>
      </c>
      <c r="B16" s="152" t="s">
        <v>84</v>
      </c>
      <c r="C16" s="152" t="s">
        <v>280</v>
      </c>
      <c r="D16" s="152" t="s">
        <v>281</v>
      </c>
      <c r="E16" s="152" t="s">
        <v>282</v>
      </c>
    </row>
    <row r="17" spans="1:5" x14ac:dyDescent="0.25">
      <c r="A17" s="153" t="s">
        <v>283</v>
      </c>
      <c r="B17" s="153" t="s">
        <v>93</v>
      </c>
      <c r="C17" s="153" t="s">
        <v>284</v>
      </c>
      <c r="D17" s="153" t="s">
        <v>285</v>
      </c>
      <c r="E17" s="153" t="s">
        <v>286</v>
      </c>
    </row>
    <row r="18" spans="1:5" x14ac:dyDescent="0.25">
      <c r="A18" s="153" t="s">
        <v>287</v>
      </c>
      <c r="B18" s="153" t="s">
        <v>97</v>
      </c>
      <c r="C18" s="153" t="s">
        <v>288</v>
      </c>
      <c r="D18" s="153" t="s">
        <v>289</v>
      </c>
      <c r="E18" s="153" t="s">
        <v>290</v>
      </c>
    </row>
    <row r="19" spans="1:5" x14ac:dyDescent="0.25">
      <c r="A19" s="152" t="s">
        <v>291</v>
      </c>
      <c r="B19" s="152" t="s">
        <v>106</v>
      </c>
      <c r="C19" s="152" t="s">
        <v>292</v>
      </c>
      <c r="D19" s="152" t="s">
        <v>293</v>
      </c>
      <c r="E19" s="152" t="s">
        <v>294</v>
      </c>
    </row>
    <row r="20" spans="1:5" x14ac:dyDescent="0.25">
      <c r="A20" s="153" t="s">
        <v>295</v>
      </c>
      <c r="B20" s="153" t="s">
        <v>296</v>
      </c>
      <c r="C20" s="153" t="s">
        <v>297</v>
      </c>
      <c r="D20" s="153" t="s">
        <v>298</v>
      </c>
      <c r="E20" s="153" t="s">
        <v>299</v>
      </c>
    </row>
    <row r="21" spans="1:5" x14ac:dyDescent="0.25">
      <c r="A21" s="153" t="s">
        <v>300</v>
      </c>
      <c r="B21" s="153" t="s">
        <v>301</v>
      </c>
      <c r="C21" s="153" t="s">
        <v>302</v>
      </c>
      <c r="D21" s="153" t="s">
        <v>303</v>
      </c>
      <c r="E21" s="153" t="s">
        <v>304</v>
      </c>
    </row>
    <row r="22" spans="1:5" x14ac:dyDescent="0.25">
      <c r="A22" s="153" t="s">
        <v>305</v>
      </c>
      <c r="B22" s="153" t="s">
        <v>306</v>
      </c>
      <c r="C22" s="153" t="s">
        <v>307</v>
      </c>
      <c r="D22" s="153" t="s">
        <v>308</v>
      </c>
      <c r="E22" s="153" t="s">
        <v>309</v>
      </c>
    </row>
    <row r="23" spans="1:5" x14ac:dyDescent="0.25">
      <c r="A23" s="153" t="s">
        <v>310</v>
      </c>
      <c r="B23" s="153" t="s">
        <v>311</v>
      </c>
      <c r="C23" s="153" t="s">
        <v>312</v>
      </c>
      <c r="D23" s="153" t="s">
        <v>313</v>
      </c>
      <c r="E23" s="153" t="s">
        <v>314</v>
      </c>
    </row>
    <row r="24" spans="1:5" x14ac:dyDescent="0.25">
      <c r="A24" s="153" t="s">
        <v>315</v>
      </c>
      <c r="B24" s="153" t="s">
        <v>316</v>
      </c>
      <c r="C24" s="153" t="s">
        <v>317</v>
      </c>
      <c r="D24" s="153" t="s">
        <v>318</v>
      </c>
      <c r="E24" s="153" t="s">
        <v>319</v>
      </c>
    </row>
    <row r="25" spans="1:5" x14ac:dyDescent="0.25">
      <c r="A25" s="153" t="s">
        <v>320</v>
      </c>
      <c r="B25" s="153" t="s">
        <v>321</v>
      </c>
      <c r="C25" s="153" t="s">
        <v>322</v>
      </c>
      <c r="D25" s="153" t="s">
        <v>323</v>
      </c>
      <c r="E25" s="153" t="s">
        <v>324</v>
      </c>
    </row>
    <row r="26" spans="1:5" x14ac:dyDescent="0.25">
      <c r="A26" s="153" t="s">
        <v>325</v>
      </c>
      <c r="B26" s="153" t="s">
        <v>326</v>
      </c>
      <c r="C26" s="153" t="s">
        <v>327</v>
      </c>
      <c r="D26" s="153" t="s">
        <v>328</v>
      </c>
      <c r="E26" s="153" t="s">
        <v>328</v>
      </c>
    </row>
    <row r="27" spans="1:5" x14ac:dyDescent="0.25">
      <c r="A27" s="153" t="s">
        <v>329</v>
      </c>
      <c r="B27" s="153" t="s">
        <v>311</v>
      </c>
      <c r="C27" s="153" t="s">
        <v>312</v>
      </c>
      <c r="D27" s="153" t="s">
        <v>313</v>
      </c>
      <c r="E27" s="153" t="s">
        <v>314</v>
      </c>
    </row>
    <row r="28" spans="1:5" x14ac:dyDescent="0.25">
      <c r="A28" s="153" t="s">
        <v>330</v>
      </c>
      <c r="B28" s="153" t="s">
        <v>316</v>
      </c>
      <c r="C28" s="153" t="s">
        <v>317</v>
      </c>
      <c r="D28" s="153" t="s">
        <v>318</v>
      </c>
      <c r="E28" s="153" t="s">
        <v>319</v>
      </c>
    </row>
    <row r="29" spans="1:5" x14ac:dyDescent="0.25">
      <c r="A29" s="152" t="s">
        <v>331</v>
      </c>
      <c r="B29" s="152" t="s">
        <v>178</v>
      </c>
      <c r="C29" s="152" t="s">
        <v>332</v>
      </c>
      <c r="D29" s="152" t="s">
        <v>333</v>
      </c>
      <c r="E29" s="152" t="s">
        <v>334</v>
      </c>
    </row>
    <row r="30" spans="1:5" x14ac:dyDescent="0.25">
      <c r="A30" s="153" t="s">
        <v>335</v>
      </c>
      <c r="B30" s="153" t="s">
        <v>336</v>
      </c>
      <c r="C30" s="153" t="s">
        <v>337</v>
      </c>
      <c r="D30" s="153" t="s">
        <v>338</v>
      </c>
      <c r="E30" s="153" t="s">
        <v>339</v>
      </c>
    </row>
    <row r="31" spans="1:5" x14ac:dyDescent="0.25">
      <c r="A31" s="153" t="s">
        <v>340</v>
      </c>
      <c r="B31" s="153" t="s">
        <v>341</v>
      </c>
      <c r="C31" s="153" t="s">
        <v>342</v>
      </c>
      <c r="D31" s="153" t="s">
        <v>343</v>
      </c>
      <c r="E31" s="153" t="s">
        <v>344</v>
      </c>
    </row>
    <row r="32" spans="1:5" x14ac:dyDescent="0.25">
      <c r="A32" s="153" t="s">
        <v>345</v>
      </c>
      <c r="B32" s="153" t="s">
        <v>346</v>
      </c>
      <c r="C32" s="153" t="s">
        <v>347</v>
      </c>
      <c r="D32" s="153" t="s">
        <v>348</v>
      </c>
      <c r="E32" s="153" t="s">
        <v>349</v>
      </c>
    </row>
    <row r="33" spans="1:5" x14ac:dyDescent="0.25">
      <c r="A33" s="153" t="s">
        <v>350</v>
      </c>
      <c r="B33" s="153" t="s">
        <v>351</v>
      </c>
      <c r="C33" s="153" t="s">
        <v>352</v>
      </c>
      <c r="D33" s="153" t="s">
        <v>353</v>
      </c>
      <c r="E33" s="153" t="s">
        <v>354</v>
      </c>
    </row>
    <row r="34" spans="1:5" x14ac:dyDescent="0.25">
      <c r="A34" s="153" t="s">
        <v>355</v>
      </c>
      <c r="B34" s="153" t="s">
        <v>196</v>
      </c>
      <c r="C34" s="153" t="s">
        <v>356</v>
      </c>
      <c r="D34" s="153" t="s">
        <v>357</v>
      </c>
      <c r="E34" s="153" t="s">
        <v>358</v>
      </c>
    </row>
    <row r="35" spans="1:5" x14ac:dyDescent="0.25">
      <c r="A35" s="153" t="s">
        <v>359</v>
      </c>
      <c r="B35" s="153" t="s">
        <v>360</v>
      </c>
      <c r="C35" s="153" t="s">
        <v>361</v>
      </c>
      <c r="D35" s="153" t="s">
        <v>362</v>
      </c>
      <c r="E35" s="153" t="s">
        <v>363</v>
      </c>
    </row>
    <row r="36" spans="1:5" x14ac:dyDescent="0.25">
      <c r="A36" s="153" t="s">
        <v>364</v>
      </c>
      <c r="B36" s="153" t="s">
        <v>365</v>
      </c>
      <c r="C36" s="153" t="s">
        <v>366</v>
      </c>
      <c r="D36" s="153" t="s">
        <v>367</v>
      </c>
      <c r="E36" s="153" t="s">
        <v>368</v>
      </c>
    </row>
    <row r="37" spans="1:5" x14ac:dyDescent="0.25">
      <c r="A37" s="153" t="s">
        <v>369</v>
      </c>
      <c r="B37" s="152" t="s">
        <v>4</v>
      </c>
      <c r="C37" s="153" t="s">
        <v>370</v>
      </c>
      <c r="D37" s="153" t="s">
        <v>371</v>
      </c>
      <c r="E37" s="153" t="s">
        <v>372</v>
      </c>
    </row>
    <row r="38" spans="1:5" x14ac:dyDescent="0.25">
      <c r="A38" s="153" t="s">
        <v>373</v>
      </c>
      <c r="B38" s="153" t="s">
        <v>7</v>
      </c>
      <c r="C38" s="153" t="s">
        <v>374</v>
      </c>
      <c r="D38" s="153" t="s">
        <v>375</v>
      </c>
      <c r="E38" s="153" t="s">
        <v>376</v>
      </c>
    </row>
    <row r="39" spans="1:5" x14ac:dyDescent="0.25">
      <c r="A39" s="153" t="s">
        <v>377</v>
      </c>
      <c r="B39" s="153" t="s">
        <v>378</v>
      </c>
      <c r="C39" s="153" t="s">
        <v>379</v>
      </c>
      <c r="D39" s="153" t="s">
        <v>380</v>
      </c>
      <c r="E39" s="153" t="s">
        <v>381</v>
      </c>
    </row>
    <row r="40" spans="1:5" x14ac:dyDescent="0.25">
      <c r="A40" s="153" t="s">
        <v>382</v>
      </c>
      <c r="B40" s="153" t="s">
        <v>383</v>
      </c>
      <c r="C40" s="153" t="s">
        <v>384</v>
      </c>
      <c r="D40" s="153" t="s">
        <v>385</v>
      </c>
      <c r="E40" s="153" t="s">
        <v>386</v>
      </c>
    </row>
    <row r="41" spans="1:5" x14ac:dyDescent="0.25">
      <c r="A41" s="153" t="s">
        <v>387</v>
      </c>
      <c r="B41" s="153" t="s">
        <v>41</v>
      </c>
      <c r="C41" s="153" t="s">
        <v>388</v>
      </c>
      <c r="D41" s="153" t="s">
        <v>389</v>
      </c>
      <c r="E41" s="153" t="s">
        <v>390</v>
      </c>
    </row>
    <row r="42" spans="1:5" x14ac:dyDescent="0.25">
      <c r="A42" s="153" t="s">
        <v>391</v>
      </c>
      <c r="B42" s="153" t="s">
        <v>392</v>
      </c>
      <c r="C42" s="153" t="s">
        <v>393</v>
      </c>
      <c r="D42" s="153" t="s">
        <v>394</v>
      </c>
      <c r="E42" s="153" t="s">
        <v>395</v>
      </c>
    </row>
    <row r="43" spans="1:5" x14ac:dyDescent="0.25">
      <c r="A43" s="153" t="s">
        <v>396</v>
      </c>
      <c r="B43" s="153" t="s">
        <v>397</v>
      </c>
      <c r="C43" s="153" t="s">
        <v>398</v>
      </c>
      <c r="D43" s="153" t="s">
        <v>399</v>
      </c>
      <c r="E43" s="153" t="s">
        <v>400</v>
      </c>
    </row>
    <row r="44" spans="1:5" x14ac:dyDescent="0.25">
      <c r="A44" s="153" t="s">
        <v>401</v>
      </c>
      <c r="B44" s="153" t="s">
        <v>8</v>
      </c>
      <c r="C44" s="153" t="s">
        <v>402</v>
      </c>
      <c r="D44" s="153" t="s">
        <v>403</v>
      </c>
      <c r="E44" s="153" t="s">
        <v>404</v>
      </c>
    </row>
    <row r="45" spans="1:5" x14ac:dyDescent="0.25">
      <c r="A45" s="153" t="s">
        <v>405</v>
      </c>
      <c r="B45" s="153" t="s">
        <v>406</v>
      </c>
      <c r="C45" s="153" t="s">
        <v>407</v>
      </c>
      <c r="D45" s="153" t="s">
        <v>408</v>
      </c>
      <c r="E45" s="153" t="s">
        <v>409</v>
      </c>
    </row>
    <row r="46" spans="1:5" x14ac:dyDescent="0.25">
      <c r="A46" s="153" t="s">
        <v>410</v>
      </c>
      <c r="B46" s="153" t="s">
        <v>411</v>
      </c>
      <c r="C46" s="153" t="s">
        <v>412</v>
      </c>
      <c r="D46" s="153" t="s">
        <v>413</v>
      </c>
      <c r="E46" s="153" t="s">
        <v>414</v>
      </c>
    </row>
    <row r="47" spans="1:5" x14ac:dyDescent="0.25">
      <c r="A47" s="153" t="s">
        <v>415</v>
      </c>
      <c r="B47" s="153" t="s">
        <v>416</v>
      </c>
      <c r="C47" s="153" t="s">
        <v>417</v>
      </c>
      <c r="D47" s="153" t="s">
        <v>418</v>
      </c>
      <c r="E47" s="153" t="s">
        <v>419</v>
      </c>
    </row>
    <row r="48" spans="1:5" x14ac:dyDescent="0.25">
      <c r="A48" s="153" t="s">
        <v>420</v>
      </c>
      <c r="B48" s="153" t="s">
        <v>19</v>
      </c>
      <c r="C48" s="153" t="s">
        <v>421</v>
      </c>
      <c r="D48" s="153" t="s">
        <v>422</v>
      </c>
      <c r="E48" s="153" t="s">
        <v>423</v>
      </c>
    </row>
    <row r="49" spans="1:5" x14ac:dyDescent="0.25">
      <c r="A49" s="153" t="s">
        <v>424</v>
      </c>
      <c r="B49" s="153" t="s">
        <v>425</v>
      </c>
      <c r="C49" s="153" t="s">
        <v>426</v>
      </c>
      <c r="D49" s="153" t="s">
        <v>427</v>
      </c>
      <c r="E49" s="153" t="s">
        <v>427</v>
      </c>
    </row>
    <row r="50" spans="1:5" x14ac:dyDescent="0.25">
      <c r="A50" s="153" t="s">
        <v>428</v>
      </c>
      <c r="B50" s="153" t="s">
        <v>429</v>
      </c>
      <c r="C50" s="153" t="s">
        <v>430</v>
      </c>
      <c r="D50" s="153" t="s">
        <v>431</v>
      </c>
      <c r="E50" s="153" t="s">
        <v>432</v>
      </c>
    </row>
    <row r="51" spans="1:5" x14ac:dyDescent="0.25">
      <c r="A51" s="153" t="s">
        <v>433</v>
      </c>
      <c r="B51" s="153" t="s">
        <v>434</v>
      </c>
      <c r="C51" s="153" t="s">
        <v>435</v>
      </c>
      <c r="D51" s="153" t="s">
        <v>436</v>
      </c>
      <c r="E51" s="153" t="s">
        <v>437</v>
      </c>
    </row>
    <row r="52" spans="1:5" x14ac:dyDescent="0.25">
      <c r="A52" s="153" t="s">
        <v>438</v>
      </c>
      <c r="B52" s="153" t="s">
        <v>439</v>
      </c>
      <c r="C52" s="153" t="s">
        <v>440</v>
      </c>
      <c r="D52" s="153" t="s">
        <v>441</v>
      </c>
      <c r="E52" s="153" t="s">
        <v>442</v>
      </c>
    </row>
    <row r="53" spans="1:5" x14ac:dyDescent="0.25">
      <c r="A53" s="153" t="s">
        <v>443</v>
      </c>
      <c r="B53" s="153" t="s">
        <v>444</v>
      </c>
      <c r="C53" s="153" t="s">
        <v>445</v>
      </c>
      <c r="D53" s="153" t="s">
        <v>446</v>
      </c>
      <c r="E53" s="153" t="s">
        <v>447</v>
      </c>
    </row>
    <row r="54" spans="1:5" x14ac:dyDescent="0.25">
      <c r="A54" s="153" t="s">
        <v>448</v>
      </c>
      <c r="B54" s="153" t="s">
        <v>449</v>
      </c>
      <c r="C54" s="153" t="s">
        <v>450</v>
      </c>
      <c r="D54" s="153" t="s">
        <v>451</v>
      </c>
      <c r="E54" s="153" t="s">
        <v>452</v>
      </c>
    </row>
    <row r="55" spans="1:5" x14ac:dyDescent="0.25">
      <c r="A55" s="153" t="s">
        <v>453</v>
      </c>
      <c r="B55" s="153" t="s">
        <v>454</v>
      </c>
      <c r="C55" s="153" t="s">
        <v>455</v>
      </c>
      <c r="D55" s="153" t="s">
        <v>456</v>
      </c>
      <c r="E55" s="153" t="s">
        <v>457</v>
      </c>
    </row>
    <row r="56" spans="1:5" x14ac:dyDescent="0.25">
      <c r="A56" s="153" t="s">
        <v>458</v>
      </c>
      <c r="B56" s="153" t="s">
        <v>109</v>
      </c>
      <c r="C56" s="153" t="s">
        <v>459</v>
      </c>
      <c r="D56" s="153" t="s">
        <v>460</v>
      </c>
      <c r="E56" s="153" t="s">
        <v>461</v>
      </c>
    </row>
    <row r="57" spans="1:5" x14ac:dyDescent="0.25">
      <c r="A57" s="153" t="s">
        <v>462</v>
      </c>
      <c r="B57" s="153" t="s">
        <v>162</v>
      </c>
      <c r="C57" s="153" t="s">
        <v>463</v>
      </c>
      <c r="D57" s="153" t="s">
        <v>464</v>
      </c>
      <c r="E57" s="153" t="s">
        <v>465</v>
      </c>
    </row>
    <row r="58" spans="1:5" x14ac:dyDescent="0.25">
      <c r="A58" s="153" t="s">
        <v>466</v>
      </c>
      <c r="B58" s="153" t="s">
        <v>467</v>
      </c>
      <c r="C58" s="153" t="s">
        <v>468</v>
      </c>
      <c r="D58" s="153" t="s">
        <v>469</v>
      </c>
      <c r="E58" s="153" t="s">
        <v>470</v>
      </c>
    </row>
    <row r="59" spans="1:5" x14ac:dyDescent="0.25">
      <c r="A59" s="153" t="s">
        <v>471</v>
      </c>
      <c r="B59" s="153" t="s">
        <v>472</v>
      </c>
      <c r="C59" s="153" t="s">
        <v>473</v>
      </c>
      <c r="D59" s="153" t="s">
        <v>474</v>
      </c>
      <c r="E59" s="153" t="s">
        <v>475</v>
      </c>
    </row>
    <row r="60" spans="1:5" x14ac:dyDescent="0.25">
      <c r="A60" s="153" t="s">
        <v>476</v>
      </c>
      <c r="B60" s="153" t="s">
        <v>477</v>
      </c>
      <c r="C60" s="153" t="s">
        <v>478</v>
      </c>
      <c r="D60" s="153" t="s">
        <v>479</v>
      </c>
      <c r="E60" s="153" t="s">
        <v>480</v>
      </c>
    </row>
    <row r="61" spans="1:5" x14ac:dyDescent="0.25">
      <c r="A61" s="153" t="s">
        <v>481</v>
      </c>
      <c r="B61" s="153" t="s">
        <v>482</v>
      </c>
      <c r="C61" s="153" t="s">
        <v>483</v>
      </c>
      <c r="D61" s="153" t="s">
        <v>484</v>
      </c>
      <c r="E61" s="153" t="s">
        <v>485</v>
      </c>
    </row>
    <row r="62" spans="1:5" x14ac:dyDescent="0.25">
      <c r="A62" s="153" t="s">
        <v>486</v>
      </c>
      <c r="B62" s="153" t="s">
        <v>487</v>
      </c>
      <c r="C62" s="153" t="s">
        <v>487</v>
      </c>
      <c r="D62" s="153" t="s">
        <v>487</v>
      </c>
      <c r="E62" s="153" t="s">
        <v>487</v>
      </c>
    </row>
    <row r="63" spans="1:5" x14ac:dyDescent="0.25">
      <c r="A63" s="153" t="s">
        <v>488</v>
      </c>
      <c r="B63" s="153" t="s">
        <v>489</v>
      </c>
      <c r="C63" s="153" t="s">
        <v>490</v>
      </c>
      <c r="D63" s="153" t="s">
        <v>491</v>
      </c>
      <c r="E63" s="153" t="s">
        <v>492</v>
      </c>
    </row>
    <row r="64" spans="1:5" x14ac:dyDescent="0.25">
      <c r="A64" s="153" t="s">
        <v>493</v>
      </c>
      <c r="B64" s="153" t="s">
        <v>494</v>
      </c>
      <c r="C64" s="153" t="s">
        <v>495</v>
      </c>
      <c r="D64" s="153" t="s">
        <v>496</v>
      </c>
      <c r="E64" s="153" t="s">
        <v>497</v>
      </c>
    </row>
    <row r="65" spans="1:5" x14ac:dyDescent="0.25">
      <c r="A65" s="153"/>
      <c r="B65" s="153" t="s">
        <v>68</v>
      </c>
      <c r="C65" s="153" t="s">
        <v>498</v>
      </c>
      <c r="D65" s="153" t="s">
        <v>499</v>
      </c>
      <c r="E65" s="153" t="s">
        <v>499</v>
      </c>
    </row>
    <row r="66" spans="1:5" x14ac:dyDescent="0.25">
      <c r="A66" s="153"/>
      <c r="B66" s="153" t="s">
        <v>135</v>
      </c>
      <c r="C66" s="153" t="s">
        <v>135</v>
      </c>
      <c r="D66" s="153" t="s">
        <v>500</v>
      </c>
      <c r="E66" s="153" t="s">
        <v>501</v>
      </c>
    </row>
    <row r="67" spans="1:5" x14ac:dyDescent="0.25">
      <c r="A67" s="153"/>
      <c r="B67" s="153" t="s">
        <v>14</v>
      </c>
      <c r="C67" s="153" t="s">
        <v>502</v>
      </c>
      <c r="D67" s="153" t="s">
        <v>503</v>
      </c>
      <c r="E67" s="153" t="s">
        <v>504</v>
      </c>
    </row>
    <row r="68" spans="1:5" ht="90" x14ac:dyDescent="0.25">
      <c r="A68" s="153" t="s">
        <v>505</v>
      </c>
      <c r="B68" s="153" t="s">
        <v>506</v>
      </c>
      <c r="C68" s="154" t="s">
        <v>507</v>
      </c>
      <c r="D68" s="154" t="s">
        <v>508</v>
      </c>
      <c r="E68" s="154" t="s">
        <v>509</v>
      </c>
    </row>
    <row r="69" spans="1:5" ht="60" x14ac:dyDescent="0.25">
      <c r="A69" s="153" t="s">
        <v>510</v>
      </c>
      <c r="B69" s="153" t="s">
        <v>511</v>
      </c>
      <c r="C69" s="154" t="s">
        <v>512</v>
      </c>
      <c r="D69" s="154" t="s">
        <v>513</v>
      </c>
      <c r="E69" s="154" t="s">
        <v>514</v>
      </c>
    </row>
    <row r="70" spans="1:5" ht="60" x14ac:dyDescent="0.25">
      <c r="A70" s="153" t="s">
        <v>515</v>
      </c>
      <c r="B70" s="153" t="s">
        <v>516</v>
      </c>
      <c r="C70" s="154" t="s">
        <v>517</v>
      </c>
      <c r="D70" s="154" t="s">
        <v>518</v>
      </c>
      <c r="E70" s="154" t="s">
        <v>519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U33"/>
  <sheetViews>
    <sheetView zoomScaleNormal="100" workbookViewId="0">
      <selection activeCell="B29" sqref="B29"/>
    </sheetView>
  </sheetViews>
  <sheetFormatPr baseColWidth="10" defaultColWidth="11.28515625" defaultRowHeight="15" x14ac:dyDescent="0.25"/>
  <cols>
    <col min="1" max="1" width="15.42578125" style="97" customWidth="1"/>
    <col min="2" max="2" width="17" style="97" customWidth="1"/>
    <col min="3" max="10" width="11.28515625" style="97"/>
    <col min="11" max="11" width="5.28515625" style="97" customWidth="1"/>
    <col min="12" max="12" width="11.28515625" style="97" hidden="1" customWidth="1"/>
    <col min="13" max="13" width="2.85546875" style="97" customWidth="1"/>
    <col min="14" max="14" width="18.28515625" style="97" customWidth="1"/>
    <col min="15" max="15" width="12.28515625" style="97" customWidth="1"/>
    <col min="16" max="16" width="2.5703125" style="97" customWidth="1"/>
    <col min="17" max="17" width="12.5703125" style="97" bestFit="1" customWidth="1"/>
    <col min="18" max="18" width="2" style="97" customWidth="1"/>
    <col min="19" max="19" width="11.28515625" style="97"/>
    <col min="20" max="23" width="3" style="97" customWidth="1"/>
    <col min="24" max="16384" width="11.28515625" style="97"/>
  </cols>
  <sheetData>
    <row r="1" spans="1:21" ht="15.75" thickBot="1" x14ac:dyDescent="0.3">
      <c r="A1" s="89" t="s">
        <v>184</v>
      </c>
      <c r="B1" s="90" t="s">
        <v>185</v>
      </c>
      <c r="C1" s="90" t="s">
        <v>186</v>
      </c>
      <c r="D1" s="90" t="s">
        <v>187</v>
      </c>
      <c r="E1" s="90" t="s">
        <v>520</v>
      </c>
      <c r="F1" s="90" t="s">
        <v>189</v>
      </c>
      <c r="G1" s="90" t="s">
        <v>521</v>
      </c>
      <c r="H1" s="90" t="s">
        <v>191</v>
      </c>
      <c r="I1" s="90" t="s">
        <v>192</v>
      </c>
      <c r="J1" s="91" t="s">
        <v>193</v>
      </c>
      <c r="K1" s="92"/>
      <c r="L1" s="93" t="s">
        <v>184</v>
      </c>
      <c r="M1" s="94"/>
      <c r="N1" s="324" t="s">
        <v>522</v>
      </c>
      <c r="O1" s="324"/>
      <c r="P1" s="324"/>
      <c r="Q1" s="324"/>
      <c r="R1" s="324"/>
      <c r="S1" s="324"/>
      <c r="T1" s="95"/>
      <c r="U1" s="96"/>
    </row>
    <row r="2" spans="1:21" x14ac:dyDescent="0.25">
      <c r="A2" s="123" t="s">
        <v>523</v>
      </c>
      <c r="B2" s="124" t="s">
        <v>524</v>
      </c>
      <c r="C2" s="125">
        <v>310</v>
      </c>
      <c r="D2" s="125">
        <v>32.6</v>
      </c>
      <c r="E2" s="125">
        <v>9.52</v>
      </c>
      <c r="F2" s="125">
        <v>40.1</v>
      </c>
      <c r="G2" s="125">
        <v>9.8699999999999992</v>
      </c>
      <c r="H2" s="125">
        <v>-0.45</v>
      </c>
      <c r="I2" s="125">
        <v>-0.28999999999999998</v>
      </c>
      <c r="J2" s="126">
        <v>0.05</v>
      </c>
      <c r="K2" s="96"/>
      <c r="L2" s="97" t="str">
        <f t="array" aca="1" ref="L2" ca="1">IF(SUM(IF(A$1:A$31="",0,1/COUNTIF(A$1:A$31,A$1:A$31))) &lt; ROW(A2),"",INDEX(A:A,SMALL(IF(COUNTIF(OFFSET(A$1,,,ROW($1:$31)),A$1:A$31)=1,ROW($1:$31)),ROW(A2))))</f>
        <v>BauerSolartechnik</v>
      </c>
      <c r="M2" s="98"/>
      <c r="N2" s="99"/>
      <c r="O2" s="99"/>
      <c r="P2" s="99"/>
      <c r="Q2" s="99"/>
      <c r="R2" s="99"/>
      <c r="S2" s="99"/>
      <c r="T2" s="100"/>
      <c r="U2" s="96"/>
    </row>
    <row r="3" spans="1:21" x14ac:dyDescent="0.25">
      <c r="A3" s="123" t="s">
        <v>523</v>
      </c>
      <c r="B3" s="124" t="s">
        <v>525</v>
      </c>
      <c r="C3" s="125">
        <v>320</v>
      </c>
      <c r="D3" s="125">
        <v>33</v>
      </c>
      <c r="E3" s="125">
        <v>9.6999999999999993</v>
      </c>
      <c r="F3" s="125">
        <v>40.4</v>
      </c>
      <c r="G3" s="125">
        <v>10.029999999999999</v>
      </c>
      <c r="H3" s="125">
        <v>-0.45</v>
      </c>
      <c r="I3" s="125">
        <v>-0.28999999999999998</v>
      </c>
      <c r="J3" s="126">
        <v>0.05</v>
      </c>
      <c r="K3" s="96"/>
      <c r="L3" s="97" t="str">
        <f t="array" aca="1" ref="L3" ca="1">IF(SUM(IF(A$1:A$31="",0,1/COUNTIF(A$1:A$31,A$1:A$31))) &lt; ROW(A3),"",INDEX(A:A,SMALL(IF(COUNTIF(OFFSET(A$1,,,ROW($1:$31)),A$1:A$31)=1,ROW($1:$31)),ROW(A3))))</f>
        <v>Solyco</v>
      </c>
      <c r="M3" s="101"/>
      <c r="O3" s="102" t="s">
        <v>526</v>
      </c>
      <c r="Q3" s="102" t="s">
        <v>527</v>
      </c>
      <c r="S3" s="103" t="s">
        <v>528</v>
      </c>
      <c r="T3" s="104"/>
      <c r="U3" s="96"/>
    </row>
    <row r="4" spans="1:21" x14ac:dyDescent="0.25">
      <c r="A4" s="123" t="s">
        <v>523</v>
      </c>
      <c r="B4" s="124" t="s">
        <v>529</v>
      </c>
      <c r="C4" s="125">
        <v>320</v>
      </c>
      <c r="D4" s="125">
        <v>34.700000000000003</v>
      </c>
      <c r="E4" s="125">
        <v>9.23</v>
      </c>
      <c r="F4" s="125">
        <v>41</v>
      </c>
      <c r="G4" s="125">
        <v>9.98</v>
      </c>
      <c r="H4" s="125">
        <v>-0.45</v>
      </c>
      <c r="I4" s="125">
        <v>-0.28999999999999998</v>
      </c>
      <c r="J4" s="126">
        <v>0.05</v>
      </c>
      <c r="K4" s="96"/>
      <c r="L4" s="97" t="str">
        <f t="array" aca="1" ref="L4" ca="1">IF(SUM(IF(A$1:A$31="",0,1/COUNTIF(A$1:A$31,A$1:A$31))) &lt; ROW(A4),"",INDEX(A:A,SMALL(IF(COUNTIF(OFFSET(A$1,,,ROW($1:$31)),A$1:A$31)=1,ROW($1:$31)),ROW(A4))))</f>
        <v>SolarFabrik</v>
      </c>
      <c r="M4" s="101"/>
      <c r="N4" s="97" t="s">
        <v>296</v>
      </c>
      <c r="O4" s="117">
        <v>375</v>
      </c>
      <c r="P4" s="105"/>
      <c r="Q4" s="120">
        <v>-1.02</v>
      </c>
      <c r="R4" s="106"/>
      <c r="S4" s="107">
        <f>Q4/O4</f>
        <v>-2.7200000000000002E-3</v>
      </c>
      <c r="T4" s="104"/>
      <c r="U4" s="96"/>
    </row>
    <row r="5" spans="1:21" x14ac:dyDescent="0.25">
      <c r="A5" s="123" t="s">
        <v>523</v>
      </c>
      <c r="B5" s="124" t="s">
        <v>530</v>
      </c>
      <c r="C5" s="125">
        <v>330</v>
      </c>
      <c r="D5" s="125">
        <v>35.1</v>
      </c>
      <c r="E5" s="125">
        <v>9.41</v>
      </c>
      <c r="F5" s="125">
        <v>41.5</v>
      </c>
      <c r="G5" s="125">
        <v>10.17</v>
      </c>
      <c r="H5" s="125">
        <v>-0.45</v>
      </c>
      <c r="I5" s="125">
        <v>-0.28999999999999998</v>
      </c>
      <c r="J5" s="126">
        <v>0.05</v>
      </c>
      <c r="K5" s="96"/>
      <c r="L5" s="97" t="str">
        <f t="array" aca="1" ref="L5" ca="1">IF(SUM(IF(A$1:A$31="",0,1/COUNTIF(A$1:A$31,A$1:A$31))) &lt; ROW(A5),"",INDEX(A:A,SMALL(IF(COUNTIF(OFFSET(A$1,,,ROW($1:$31)),A$1:A$31)=1,ROW($1:$31)),ROW(A5))))</f>
        <v>Trina Solar</v>
      </c>
      <c r="M5" s="101"/>
      <c r="N5" s="97" t="s">
        <v>311</v>
      </c>
      <c r="O5" s="118">
        <v>74.900000000000006</v>
      </c>
      <c r="P5" s="108"/>
      <c r="Q5" s="121">
        <v>-176.8</v>
      </c>
      <c r="R5" s="109"/>
      <c r="S5" s="110">
        <f>(Q5/1000)/O5</f>
        <v>-2.3604806408544727E-3</v>
      </c>
      <c r="T5" s="104"/>
      <c r="U5" s="96"/>
    </row>
    <row r="6" spans="1:21" x14ac:dyDescent="0.25">
      <c r="A6" s="123" t="s">
        <v>523</v>
      </c>
      <c r="B6" s="124" t="s">
        <v>531</v>
      </c>
      <c r="C6" s="125">
        <v>330</v>
      </c>
      <c r="D6" s="125">
        <v>33.700000000000003</v>
      </c>
      <c r="E6" s="125">
        <v>9.8000000000000007</v>
      </c>
      <c r="F6" s="125">
        <v>40.6</v>
      </c>
      <c r="G6" s="125">
        <v>10.35</v>
      </c>
      <c r="H6" s="125">
        <v>-0.45</v>
      </c>
      <c r="I6" s="125">
        <v>-0.28999999999999998</v>
      </c>
      <c r="J6" s="126">
        <v>0.05</v>
      </c>
      <c r="K6" s="96"/>
      <c r="L6" s="97" t="str">
        <f t="array" aca="1" ref="L6" ca="1">IF(SUM(IF(A$1:A$31="",0,1/COUNTIF(A$1:A$31,A$1:A$31))) &lt; ROW(A6),"",INDEX(A:A,SMALL(IF(COUNTIF(OFFSET(A$1,,,ROW($1:$31)),A$1:A$31)=1,ROW($1:$31)),ROW(A6))))</f>
        <v>Sunpro</v>
      </c>
      <c r="M6" s="101"/>
      <c r="N6" s="97" t="s">
        <v>316</v>
      </c>
      <c r="O6" s="119">
        <v>6.52</v>
      </c>
      <c r="P6" s="111"/>
      <c r="Q6" s="122">
        <v>2.9</v>
      </c>
      <c r="R6" s="112"/>
      <c r="S6" s="107">
        <f>(Q6/1000)/O6</f>
        <v>4.4478527607361964E-4</v>
      </c>
      <c r="T6" s="104"/>
      <c r="U6" s="96"/>
    </row>
    <row r="7" spans="1:21" ht="15.75" thickBot="1" x14ac:dyDescent="0.3">
      <c r="A7" s="123" t="s">
        <v>523</v>
      </c>
      <c r="B7" s="124" t="s">
        <v>532</v>
      </c>
      <c r="C7" s="125">
        <v>335</v>
      </c>
      <c r="D7" s="125">
        <v>33.9</v>
      </c>
      <c r="E7" s="125">
        <v>9.89</v>
      </c>
      <c r="F7" s="125">
        <v>40.799999999999997</v>
      </c>
      <c r="G7" s="125">
        <v>10.42</v>
      </c>
      <c r="H7" s="125">
        <v>-0.45</v>
      </c>
      <c r="I7" s="125">
        <v>-0.28999999999999998</v>
      </c>
      <c r="J7" s="126">
        <v>0.05</v>
      </c>
      <c r="K7" s="96"/>
      <c r="L7" s="97" t="str">
        <f t="array" aca="1" ref="L7" ca="1">IF(SUM(IF(A$1:A$31="",0,1/COUNTIF(A$1:A$31,A$1:A$31))) &lt; ROW(A7),"",INDEX(A:A,SMALL(IF(COUNTIF(OFFSET(A$1,,,ROW($1:$31)),A$1:A$31)=1,ROW($1:$31)),ROW(A7))))</f>
        <v xml:space="preserve">Canadian </v>
      </c>
      <c r="M7" s="113"/>
      <c r="N7" s="114"/>
      <c r="O7" s="114"/>
      <c r="P7" s="114"/>
      <c r="Q7" s="114"/>
      <c r="R7" s="114"/>
      <c r="S7" s="115"/>
      <c r="T7" s="116"/>
      <c r="U7" s="96"/>
    </row>
    <row r="8" spans="1:21" x14ac:dyDescent="0.25">
      <c r="A8" s="123" t="s">
        <v>523</v>
      </c>
      <c r="B8" s="124" t="s">
        <v>533</v>
      </c>
      <c r="C8" s="125">
        <v>340</v>
      </c>
      <c r="D8" s="125">
        <v>34.1</v>
      </c>
      <c r="E8" s="125">
        <v>9.98</v>
      </c>
      <c r="F8" s="125">
        <v>41</v>
      </c>
      <c r="G8" s="125">
        <v>10.52</v>
      </c>
      <c r="H8" s="125">
        <v>-0.45</v>
      </c>
      <c r="I8" s="125">
        <v>-0.28999999999999998</v>
      </c>
      <c r="J8" s="126">
        <v>0.05</v>
      </c>
      <c r="K8" s="96"/>
      <c r="L8" s="97" t="str">
        <f t="array" aca="1" ref="L8" ca="1">IF(SUM(IF(A$1:A$31="",0,1/COUNTIF(A$1:A$31,A$1:A$31))) &lt; ROW(A8),"",INDEX(A:A,SMALL(IF(COUNTIF(OFFSET(A$1,,,ROW($1:$31)),A$1:A$31)=1,ROW($1:$31)),ROW(A8))))</f>
        <v>ALPHA ESS</v>
      </c>
      <c r="M8" s="325" t="s">
        <v>534</v>
      </c>
      <c r="N8" s="326"/>
      <c r="O8" s="326"/>
      <c r="P8" s="326"/>
      <c r="Q8" s="326"/>
      <c r="R8" s="326"/>
      <c r="S8" s="326"/>
      <c r="T8" s="327"/>
    </row>
    <row r="9" spans="1:21" x14ac:dyDescent="0.25">
      <c r="A9" s="123" t="s">
        <v>523</v>
      </c>
      <c r="B9" s="124" t="s">
        <v>535</v>
      </c>
      <c r="C9" s="125">
        <v>365</v>
      </c>
      <c r="D9" s="125">
        <v>34.200000000000003</v>
      </c>
      <c r="E9" s="125">
        <v>10.68</v>
      </c>
      <c r="F9" s="125">
        <v>40.700000000000003</v>
      </c>
      <c r="G9" s="125">
        <v>11.43</v>
      </c>
      <c r="H9" s="125">
        <v>-0.35</v>
      </c>
      <c r="I9" s="125">
        <v>-0.27</v>
      </c>
      <c r="J9" s="126">
        <v>4.8000000000000001E-2</v>
      </c>
      <c r="K9" s="96"/>
      <c r="L9" s="97" t="str">
        <f t="array" aca="1" ref="L9" ca="1">IF(SUM(IF(A$1:A$31="",0,1/COUNTIF(A$1:A$31,A$1:A$31))) &lt; ROW(A9),"",INDEX(A:A,SMALL(IF(COUNTIF(OFFSET(A$1,,,ROW($1:$31)),A$1:A$31)=1,ROW($1:$31)),ROW(A9))))</f>
        <v/>
      </c>
      <c r="M9" s="328"/>
      <c r="N9" s="329"/>
      <c r="O9" s="329"/>
      <c r="P9" s="329"/>
      <c r="Q9" s="329"/>
      <c r="R9" s="329"/>
      <c r="S9" s="329"/>
      <c r="T9" s="330"/>
    </row>
    <row r="10" spans="1:21" x14ac:dyDescent="0.25">
      <c r="A10" s="123" t="s">
        <v>523</v>
      </c>
      <c r="B10" s="124" t="s">
        <v>536</v>
      </c>
      <c r="C10" s="125">
        <v>370</v>
      </c>
      <c r="D10" s="125">
        <v>34.5</v>
      </c>
      <c r="E10" s="125">
        <v>10.73</v>
      </c>
      <c r="F10" s="125">
        <v>41.4</v>
      </c>
      <c r="G10" s="125">
        <v>11.36</v>
      </c>
      <c r="H10" s="125">
        <v>-0.32</v>
      </c>
      <c r="I10" s="125">
        <v>-0.26</v>
      </c>
      <c r="J10" s="126">
        <v>4.5999999999999999E-2</v>
      </c>
      <c r="K10" s="96"/>
      <c r="L10" s="97" t="str">
        <f t="array" aca="1" ref="L10" ca="1">IF(SUM(IF(A$1:A$31="",0,1/COUNTIF(A$1:A$31,A$1:A$31))) &lt; ROW(A10),"",INDEX(A:A,SMALL(IF(COUNTIF(OFFSET(A$1,,,ROW($1:$31)),A$1:A$31)=1,ROW($1:$31)),ROW(A10))))</f>
        <v/>
      </c>
      <c r="M10" s="331"/>
      <c r="N10" s="332"/>
      <c r="O10" s="332"/>
      <c r="P10" s="332"/>
      <c r="Q10" s="332"/>
      <c r="R10" s="332"/>
      <c r="S10" s="332"/>
      <c r="T10" s="333"/>
    </row>
    <row r="11" spans="1:21" x14ac:dyDescent="0.25">
      <c r="A11" s="123" t="s">
        <v>523</v>
      </c>
      <c r="B11" s="124" t="s">
        <v>537</v>
      </c>
      <c r="C11" s="125">
        <v>370</v>
      </c>
      <c r="D11" s="125">
        <v>34.4</v>
      </c>
      <c r="E11" s="125">
        <v>10.76</v>
      </c>
      <c r="F11" s="125">
        <v>40.9</v>
      </c>
      <c r="G11" s="125">
        <v>11.52</v>
      </c>
      <c r="H11" s="125">
        <v>-0.35</v>
      </c>
      <c r="I11" s="125">
        <v>-0.27</v>
      </c>
      <c r="J11" s="126">
        <v>4.8000000000000001E-2</v>
      </c>
      <c r="K11" s="96"/>
      <c r="L11" s="97" t="str">
        <f t="array" aca="1" ref="L11" ca="1">IF(SUM(IF(A$1:A$31="",0,1/COUNTIF(A$1:A$31,A$1:A$31))) &lt; ROW(A11),"",INDEX(A:A,SMALL(IF(COUNTIF(OFFSET(A$1,,,ROW($1:$31)),A$1:A$31)=1,ROW($1:$31)),ROW(A11))))</f>
        <v/>
      </c>
    </row>
    <row r="12" spans="1:21" x14ac:dyDescent="0.25">
      <c r="A12" s="123" t="s">
        <v>523</v>
      </c>
      <c r="B12" s="124" t="s">
        <v>538</v>
      </c>
      <c r="C12" s="125">
        <v>375</v>
      </c>
      <c r="D12" s="125">
        <v>34.6</v>
      </c>
      <c r="E12" s="125">
        <v>10.84</v>
      </c>
      <c r="F12" s="125">
        <v>41.1</v>
      </c>
      <c r="G12" s="125">
        <v>11.6</v>
      </c>
      <c r="H12" s="125">
        <v>-0.35</v>
      </c>
      <c r="I12" s="125">
        <v>-0.27</v>
      </c>
      <c r="J12" s="126">
        <v>4.8000000000000001E-2</v>
      </c>
      <c r="K12" s="96"/>
      <c r="L12" s="97" t="str">
        <f t="array" aca="1" ref="L12" ca="1">IF(SUM(IF(A$1:A$31="",0,1/COUNTIF(A$1:A$31,A$1:A$31))) &lt; ROW(A12),"",INDEX(A:A,SMALL(IF(COUNTIF(OFFSET(A$1,,,ROW($1:$31)),A$1:A$31)=1,ROW($1:$31)),ROW(A12))))</f>
        <v/>
      </c>
    </row>
    <row r="13" spans="1:21" x14ac:dyDescent="0.25">
      <c r="A13" s="123" t="s">
        <v>523</v>
      </c>
      <c r="B13" s="124" t="s">
        <v>539</v>
      </c>
      <c r="C13" s="125">
        <v>380</v>
      </c>
      <c r="D13" s="125">
        <v>34.9</v>
      </c>
      <c r="E13" s="125">
        <v>10.89</v>
      </c>
      <c r="F13" s="125">
        <v>41.8</v>
      </c>
      <c r="G13" s="125">
        <v>11.54</v>
      </c>
      <c r="H13" s="125">
        <v>-0.32</v>
      </c>
      <c r="I13" s="125">
        <v>-0.26</v>
      </c>
      <c r="J13" s="126">
        <v>4.5999999999999999E-2</v>
      </c>
      <c r="K13" s="96"/>
      <c r="L13" s="97" t="str">
        <f t="array" aca="1" ref="L13" ca="1">IF(SUM(IF(A$1:A$31="",0,1/COUNTIF(A$1:A$31,A$1:A$31))) &lt; ROW(A13),"",INDEX(A:A,SMALL(IF(COUNTIF(OFFSET(A$1,,,ROW($1:$31)),A$1:A$31)=1,ROW($1:$31)),ROW(A13))))</f>
        <v/>
      </c>
    </row>
    <row r="14" spans="1:21" x14ac:dyDescent="0.25">
      <c r="A14" s="123" t="s">
        <v>523</v>
      </c>
      <c r="B14" s="124" t="s">
        <v>540</v>
      </c>
      <c r="C14" s="125">
        <v>405</v>
      </c>
      <c r="D14" s="125">
        <v>31.36</v>
      </c>
      <c r="E14" s="125">
        <v>12.92</v>
      </c>
      <c r="F14" s="125">
        <v>37.36</v>
      </c>
      <c r="G14" s="125">
        <v>13.78</v>
      </c>
      <c r="H14" s="125">
        <v>-0.32</v>
      </c>
      <c r="I14" s="125">
        <v>-0.27</v>
      </c>
      <c r="J14" s="126">
        <v>4.8000000000000001E-2</v>
      </c>
      <c r="K14" s="96"/>
      <c r="L14" s="97" t="str">
        <f t="array" aca="1" ref="L14" ca="1">IF(SUM(IF(A$1:A$31="",0,1/COUNTIF(A$1:A$31,A$1:A$31))) &lt; ROW(A14),"",INDEX(A:A,SMALL(IF(COUNTIF(OFFSET(A$1,,,ROW($1:$31)),A$1:A$31)=1,ROW($1:$31)),ROW(A14))))</f>
        <v/>
      </c>
    </row>
    <row r="15" spans="1:21" x14ac:dyDescent="0.25">
      <c r="A15" s="123" t="s">
        <v>523</v>
      </c>
      <c r="B15" s="124" t="s">
        <v>541</v>
      </c>
      <c r="C15" s="125">
        <v>420</v>
      </c>
      <c r="D15" s="125">
        <v>31.52</v>
      </c>
      <c r="E15" s="125">
        <v>13.32</v>
      </c>
      <c r="F15" s="125">
        <v>38.11</v>
      </c>
      <c r="G15" s="125">
        <v>14.07</v>
      </c>
      <c r="H15" s="125">
        <v>-0.3</v>
      </c>
      <c r="I15" s="125">
        <v>-0.26</v>
      </c>
      <c r="J15" s="126">
        <v>4.8000000000000001E-2</v>
      </c>
      <c r="K15" s="96"/>
      <c r="L15" s="97" t="str">
        <f t="array" aca="1" ref="L15" ca="1">IF(SUM(IF(A$1:A$31="",0,1/COUNTIF(A$1:A$31,A$1:A$31))) &lt; ROW(A15),"",INDEX(A:A,SMALL(IF(COUNTIF(OFFSET(A$1,,,ROW($1:$31)),A$1:A$31)=1,ROW($1:$31)),ROW(A15))))</f>
        <v/>
      </c>
    </row>
    <row r="16" spans="1:21" x14ac:dyDescent="0.25">
      <c r="A16" s="123" t="s">
        <v>542</v>
      </c>
      <c r="B16" s="124" t="s">
        <v>543</v>
      </c>
      <c r="C16" s="125">
        <v>340</v>
      </c>
      <c r="D16" s="125">
        <v>34.130000000000003</v>
      </c>
      <c r="E16" s="125">
        <v>9.9600000000000009</v>
      </c>
      <c r="F16" s="125">
        <v>41.35</v>
      </c>
      <c r="G16" s="125">
        <v>10.4</v>
      </c>
      <c r="H16" s="125">
        <v>-0.35</v>
      </c>
      <c r="I16" s="125">
        <v>-0.3</v>
      </c>
      <c r="J16" s="126">
        <v>4.5999999999999999E-2</v>
      </c>
      <c r="K16" s="96"/>
      <c r="L16" s="97" t="str">
        <f t="array" aca="1" ref="L16" ca="1">IF(SUM(IF(A$1:A$31="",0,1/COUNTIF(A$1:A$31,A$1:A$31))) &lt; ROW(A16),"",INDEX(A:A,SMALL(IF(COUNTIF(OFFSET(A$1,,,ROW($1:$31)),A$1:A$31)=1,ROW($1:$31)),ROW(A16))))</f>
        <v/>
      </c>
    </row>
    <row r="17" spans="1:12" x14ac:dyDescent="0.25">
      <c r="A17" s="123" t="s">
        <v>542</v>
      </c>
      <c r="B17" s="124" t="s">
        <v>544</v>
      </c>
      <c r="C17" s="125">
        <v>340</v>
      </c>
      <c r="D17" s="125">
        <v>34.130000000000003</v>
      </c>
      <c r="E17" s="125">
        <v>9.9600000000000009</v>
      </c>
      <c r="F17" s="125">
        <v>41.35</v>
      </c>
      <c r="G17" s="125">
        <v>10.4</v>
      </c>
      <c r="H17" s="125">
        <v>-0.35</v>
      </c>
      <c r="I17" s="125">
        <v>-0.3</v>
      </c>
      <c r="J17" s="126">
        <v>4.8000000000000001E-2</v>
      </c>
      <c r="K17" s="96"/>
      <c r="L17" s="97" t="str">
        <f t="array" aca="1" ref="L17" ca="1">IF(SUM(IF(A$1:A$31="",0,1/COUNTIF(A$1:A$31,A$1:A$31))) &lt; ROW(A17),"",INDEX(A:A,SMALL(IF(COUNTIF(OFFSET(A$1,,,ROW($1:$31)),A$1:A$31)=1,ROW($1:$31)),ROW(A17))))</f>
        <v/>
      </c>
    </row>
    <row r="18" spans="1:12" x14ac:dyDescent="0.25">
      <c r="A18" s="123" t="s">
        <v>542</v>
      </c>
      <c r="B18" s="124" t="s">
        <v>545</v>
      </c>
      <c r="C18" s="125">
        <v>340</v>
      </c>
      <c r="D18" s="125">
        <v>34.130000000000003</v>
      </c>
      <c r="E18" s="125">
        <v>9.9600000000000009</v>
      </c>
      <c r="F18" s="125">
        <v>41.35</v>
      </c>
      <c r="G18" s="125">
        <v>10.4</v>
      </c>
      <c r="H18" s="125">
        <v>-0.35</v>
      </c>
      <c r="I18" s="125">
        <v>-0.3</v>
      </c>
      <c r="J18" s="126">
        <v>4.8000000000000001E-2</v>
      </c>
      <c r="K18" s="96"/>
      <c r="L18" s="97" t="str">
        <f t="array" aca="1" ref="L18" ca="1">IF(SUM(IF(A$1:A$31="",0,1/COUNTIF(A$1:A$31,A$1:A$31))) &lt; ROW(A18),"",INDEX(A:A,SMALL(IF(COUNTIF(OFFSET(A$1,,,ROW($1:$31)),A$1:A$31)=1,ROW($1:$31)),ROW(A18))))</f>
        <v/>
      </c>
    </row>
    <row r="19" spans="1:12" x14ac:dyDescent="0.25">
      <c r="A19" s="123" t="s">
        <v>542</v>
      </c>
      <c r="B19" s="124" t="s">
        <v>546</v>
      </c>
      <c r="C19" s="125">
        <v>365</v>
      </c>
      <c r="D19" s="125">
        <v>33.9</v>
      </c>
      <c r="E19" s="125">
        <v>10.77</v>
      </c>
      <c r="F19" s="125">
        <v>41.1</v>
      </c>
      <c r="G19" s="125">
        <v>11.28</v>
      </c>
      <c r="H19" s="125">
        <v>-0.36</v>
      </c>
      <c r="I19" s="125">
        <v>-0.28000000000000003</v>
      </c>
      <c r="J19" s="126">
        <v>0.05</v>
      </c>
      <c r="K19" s="96"/>
      <c r="L19" s="97" t="str">
        <f t="array" aca="1" ref="L19" ca="1">IF(SUM(IF(A$1:A$31="",0,1/COUNTIF(A$1:A$31,A$1:A$31))) &lt; ROW(A19),"",INDEX(A:A,SMALL(IF(COUNTIF(OFFSET(A$1,,,ROW($1:$31)),A$1:A$31)=1,ROW($1:$31)),ROW(A19))))</f>
        <v/>
      </c>
    </row>
    <row r="20" spans="1:12" ht="15" customHeight="1" x14ac:dyDescent="0.25">
      <c r="A20" s="123" t="s">
        <v>542</v>
      </c>
      <c r="B20" s="124" t="s">
        <v>547</v>
      </c>
      <c r="C20" s="125">
        <v>340</v>
      </c>
      <c r="D20" s="125">
        <v>34.130000000000003</v>
      </c>
      <c r="E20" s="125">
        <v>9.9600000000000009</v>
      </c>
      <c r="F20" s="125">
        <v>41.35</v>
      </c>
      <c r="G20" s="125">
        <v>10.4</v>
      </c>
      <c r="H20" s="125">
        <v>-0.35</v>
      </c>
      <c r="I20" s="125">
        <v>-0.3</v>
      </c>
      <c r="J20" s="126">
        <v>4.8000000000000001E-2</v>
      </c>
      <c r="K20" s="96"/>
      <c r="L20" s="97" t="str">
        <f t="array" aca="1" ref="L20" ca="1">IF(SUM(IF(A$1:A$31="",0,1/COUNTIF(A$1:A$31,A$1:A$31))) &lt; ROW(A20),"",INDEX(A:A,SMALL(IF(COUNTIF(OFFSET(A$1,,,ROW($1:$31)),A$1:A$31)=1,ROW($1:$31)),ROW(A20))))</f>
        <v/>
      </c>
    </row>
    <row r="21" spans="1:12" ht="15" customHeight="1" x14ac:dyDescent="0.25">
      <c r="A21" s="123" t="s">
        <v>542</v>
      </c>
      <c r="B21" s="124" t="s">
        <v>548</v>
      </c>
      <c r="C21" s="125">
        <v>400</v>
      </c>
      <c r="D21" s="125">
        <v>30.82</v>
      </c>
      <c r="E21" s="125">
        <v>12.94</v>
      </c>
      <c r="F21" s="125">
        <v>36.94</v>
      </c>
      <c r="G21" s="125">
        <v>13.6</v>
      </c>
      <c r="H21" s="125">
        <v>-0.36</v>
      </c>
      <c r="I21" s="125">
        <v>-0.28000000000000003</v>
      </c>
      <c r="J21" s="126">
        <v>0.05</v>
      </c>
      <c r="K21" s="96"/>
      <c r="L21" s="97" t="str">
        <f t="array" aca="1" ref="L21" ca="1">IF(SUM(IF(A$1:A$31="",0,1/COUNTIF(A$1:A$31,A$1:A$31))) &lt; ROW(A21),"",INDEX(A:A,SMALL(IF(COUNTIF(OFFSET(A$1,,,ROW($1:$31)),A$1:A$31)=1,ROW($1:$31)),ROW(A21))))</f>
        <v/>
      </c>
    </row>
    <row r="22" spans="1:12" x14ac:dyDescent="0.25">
      <c r="A22" s="123" t="s">
        <v>542</v>
      </c>
      <c r="B22" s="124" t="s">
        <v>549</v>
      </c>
      <c r="C22" s="125">
        <v>370</v>
      </c>
      <c r="D22" s="125">
        <v>34.01</v>
      </c>
      <c r="E22" s="125">
        <v>10.8</v>
      </c>
      <c r="F22" s="125">
        <v>40.81</v>
      </c>
      <c r="G22" s="125">
        <v>11.33</v>
      </c>
      <c r="H22" s="125">
        <v>-0.38</v>
      </c>
      <c r="I22" s="125">
        <v>-0.31</v>
      </c>
      <c r="J22" s="126">
        <v>4.8000000000000001E-2</v>
      </c>
      <c r="K22" s="96"/>
      <c r="L22" s="97" t="str">
        <f t="array" aca="1" ref="L22" ca="1">IF(SUM(IF(A$1:A$31="",0,1/COUNTIF(A$1:A$31,A$1:A$31))) &lt; ROW(A22),"",INDEX(A:A,SMALL(IF(COUNTIF(OFFSET(A$1,,,ROW($1:$31)),A$1:A$31)=1,ROW($1:$31)),ROW(A22))))</f>
        <v/>
      </c>
    </row>
    <row r="23" spans="1:12" x14ac:dyDescent="0.25">
      <c r="A23" s="123" t="s">
        <v>550</v>
      </c>
      <c r="B23" s="124" t="s">
        <v>551</v>
      </c>
      <c r="C23" s="125">
        <v>375</v>
      </c>
      <c r="D23" s="125">
        <v>34.6</v>
      </c>
      <c r="E23" s="125">
        <v>10.84</v>
      </c>
      <c r="F23" s="125">
        <v>41.1</v>
      </c>
      <c r="G23" s="125">
        <v>11.6</v>
      </c>
      <c r="H23" s="125">
        <v>-0.35</v>
      </c>
      <c r="I23" s="125">
        <v>-0.27</v>
      </c>
      <c r="J23" s="126">
        <v>4.8000000000000001E-2</v>
      </c>
      <c r="K23" s="96"/>
      <c r="L23" s="97" t="str">
        <f t="array" aca="1" ref="L23" ca="1">IF(SUM(IF(A$1:A$31="",0,1/COUNTIF(A$1:A$31,A$1:A$31))) &lt; ROW(A23),"",INDEX(A:A,SMALL(IF(COUNTIF(OFFSET(A$1,,,ROW($1:$31)),A$1:A$31)=1,ROW($1:$31)),ROW(A23))))</f>
        <v/>
      </c>
    </row>
    <row r="24" spans="1:12" x14ac:dyDescent="0.25">
      <c r="A24" s="123" t="s">
        <v>550</v>
      </c>
      <c r="B24" s="124" t="s">
        <v>552</v>
      </c>
      <c r="C24" s="125">
        <v>395</v>
      </c>
      <c r="D24" s="125">
        <v>31.03</v>
      </c>
      <c r="E24" s="125">
        <v>12.73</v>
      </c>
      <c r="F24" s="125">
        <v>36.93</v>
      </c>
      <c r="G24" s="125">
        <v>13.48</v>
      </c>
      <c r="H24" s="125">
        <v>-0.39</v>
      </c>
      <c r="I24" s="125">
        <v>-0.29499999999999998</v>
      </c>
      <c r="J24" s="126">
        <v>3.9E-2</v>
      </c>
      <c r="K24" s="96"/>
      <c r="L24" s="97" t="str">
        <f t="array" aca="1" ref="L24" ca="1">IF(SUM(IF(A$1:A$31="",0,1/COUNTIF(A$1:A$31,A$1:A$31))) &lt; ROW(A24),"",INDEX(A:A,SMALL(IF(COUNTIF(OFFSET(A$1,,,ROW($1:$31)),A$1:A$31)=1,ROW($1:$31)),ROW(A24))))</f>
        <v/>
      </c>
    </row>
    <row r="25" spans="1:12" x14ac:dyDescent="0.25">
      <c r="A25" s="123" t="s">
        <v>553</v>
      </c>
      <c r="B25" s="124" t="s">
        <v>554</v>
      </c>
      <c r="C25" s="125">
        <v>405</v>
      </c>
      <c r="D25" s="125">
        <v>34.4</v>
      </c>
      <c r="E25" s="125">
        <v>11.77</v>
      </c>
      <c r="F25" s="125">
        <v>41.4</v>
      </c>
      <c r="G25" s="125">
        <v>12.34</v>
      </c>
      <c r="H25" s="125">
        <v>-0.34</v>
      </c>
      <c r="I25" s="125">
        <v>-0.25</v>
      </c>
      <c r="J25" s="126">
        <v>0.04</v>
      </c>
      <c r="K25" s="96"/>
      <c r="L25" s="97" t="str">
        <f t="array" aca="1" ref="L25" ca="1">IF(SUM(IF(A$1:A$31="",0,1/COUNTIF(A$1:A$31,A$1:A$31))) &lt; ROW(A25),"",INDEX(A:A,SMALL(IF(COUNTIF(OFFSET(A$1,,,ROW($1:$31)),A$1:A$31)=1,ROW($1:$31)),ROW(A25))))</f>
        <v/>
      </c>
    </row>
    <row r="26" spans="1:12" x14ac:dyDescent="0.25">
      <c r="A26" s="123" t="s">
        <v>555</v>
      </c>
      <c r="B26" s="124" t="s">
        <v>556</v>
      </c>
      <c r="C26" s="125">
        <v>410</v>
      </c>
      <c r="D26" s="125">
        <v>31.25</v>
      </c>
      <c r="E26" s="125">
        <v>13.12</v>
      </c>
      <c r="F26" s="125">
        <v>37.33</v>
      </c>
      <c r="G26" s="125">
        <v>13.9</v>
      </c>
      <c r="H26" s="125">
        <v>-0.34</v>
      </c>
      <c r="I26" s="125">
        <v>-0.28999999999999998</v>
      </c>
      <c r="J26" s="126">
        <v>0.05</v>
      </c>
      <c r="K26" s="96"/>
      <c r="L26" s="97" t="str">
        <f t="array" aca="1" ref="L26" ca="1">IF(SUM(IF(A$1:A$31="",0,1/COUNTIF(A$1:A$31,A$1:A$31))) &lt; ROW(A26),"",INDEX(A:A,SMALL(IF(COUNTIF(OFFSET(A$1,,,ROW($1:$31)),A$1:A$31)=1,ROW($1:$31)),ROW(A26))))</f>
        <v/>
      </c>
    </row>
    <row r="27" spans="1:12" x14ac:dyDescent="0.25">
      <c r="A27" s="123" t="s">
        <v>557</v>
      </c>
      <c r="B27" s="124" t="s">
        <v>558</v>
      </c>
      <c r="C27" s="125">
        <v>440</v>
      </c>
      <c r="D27" s="125">
        <v>32.4</v>
      </c>
      <c r="E27" s="125">
        <v>13.59</v>
      </c>
      <c r="F27" s="125">
        <v>39.4</v>
      </c>
      <c r="G27" s="125">
        <v>14.01</v>
      </c>
      <c r="H27" s="125">
        <v>-0.28999999999999998</v>
      </c>
      <c r="I27" s="125">
        <v>-0.25</v>
      </c>
      <c r="J27" s="126">
        <v>0.05</v>
      </c>
      <c r="K27" s="96"/>
      <c r="L27" s="97" t="str">
        <f t="array" aca="1" ref="L27" ca="1">IF(SUM(IF(A$1:A$31="",0,1/COUNTIF(A$1:A$31,A$1:A$31))) &lt; ROW(A27),"",INDEX(A:A,SMALL(IF(COUNTIF(OFFSET(A$1,,,ROW($1:$31)),A$1:A$31)=1,ROW($1:$31)),ROW(A27))))</f>
        <v/>
      </c>
    </row>
    <row r="28" spans="1:12" x14ac:dyDescent="0.25">
      <c r="A28" s="123" t="s">
        <v>94</v>
      </c>
      <c r="B28" s="124" t="s">
        <v>98</v>
      </c>
      <c r="C28" s="125">
        <v>440</v>
      </c>
      <c r="D28" s="125">
        <v>30.42</v>
      </c>
      <c r="E28" s="125">
        <v>14.47</v>
      </c>
      <c r="F28" s="125">
        <v>36.24</v>
      </c>
      <c r="G28" s="125">
        <v>15.17</v>
      </c>
      <c r="H28" s="125">
        <v>-0.24</v>
      </c>
      <c r="I28" s="125">
        <v>-0.24</v>
      </c>
      <c r="J28" s="126">
        <v>0.04</v>
      </c>
      <c r="K28" s="96"/>
      <c r="L28" s="97" t="str">
        <f t="array" aca="1" ref="L28" ca="1">IF(SUM(IF(A$1:A$31="",0,1/COUNTIF(A$1:A$31,A$1:A$31))) &lt; ROW(A28),"",INDEX(A:A,SMALL(IF(COUNTIF(OFFSET(A$1,,,ROW($1:$31)),A$1:A$31)=1,ROW($1:$31)),ROW(A28))))</f>
        <v/>
      </c>
    </row>
    <row r="29" spans="1:12" x14ac:dyDescent="0.25">
      <c r="A29" s="123"/>
      <c r="B29" s="124"/>
      <c r="C29" s="125"/>
      <c r="D29" s="125"/>
      <c r="E29" s="125"/>
      <c r="F29" s="125"/>
      <c r="G29" s="125"/>
      <c r="H29" s="125"/>
      <c r="I29" s="125"/>
      <c r="J29" s="126"/>
      <c r="K29" s="96"/>
      <c r="L29" s="97" t="str">
        <f t="array" aca="1" ref="L29" ca="1">IF(SUM(IF(A$1:A$31="",0,1/COUNTIF(A$1:A$31,A$1:A$31))) &lt; ROW(A29),"",INDEX(A:A,SMALL(IF(COUNTIF(OFFSET(A$1,,,ROW($1:$31)),A$1:A$31)=1,ROW($1:$31)),ROW(A29))))</f>
        <v/>
      </c>
    </row>
    <row r="30" spans="1:12" x14ac:dyDescent="0.25">
      <c r="A30" s="123"/>
      <c r="B30" s="124"/>
      <c r="C30" s="125"/>
      <c r="D30" s="125"/>
      <c r="E30" s="125"/>
      <c r="F30" s="125"/>
      <c r="G30" s="125"/>
      <c r="H30" s="125"/>
      <c r="I30" s="125"/>
      <c r="J30" s="126"/>
      <c r="K30" s="96"/>
      <c r="L30" s="97" t="str">
        <f t="array" aca="1" ref="L30" ca="1">IF(SUM(IF(A$1:A$31="",0,1/COUNTIF(A$1:A$31,A$1:A$31))) &lt; ROW(A30),"",INDEX(A:A,SMALL(IF(COUNTIF(OFFSET(A$1,,,ROW($1:$31)),A$1:A$31)=1,ROW($1:$31)),ROW(A30))))</f>
        <v/>
      </c>
    </row>
    <row r="31" spans="1:12" ht="15.75" thickBot="1" x14ac:dyDescent="0.3">
      <c r="A31" s="127"/>
      <c r="B31" s="128"/>
      <c r="C31" s="128"/>
      <c r="D31" s="128"/>
      <c r="E31" s="128"/>
      <c r="F31" s="128"/>
      <c r="G31" s="128"/>
      <c r="H31" s="128"/>
      <c r="I31" s="128"/>
      <c r="J31" s="129"/>
      <c r="K31" s="96"/>
      <c r="L31" s="97" t="str">
        <f t="array" aca="1" ref="L31" ca="1">IF(SUM(IF(A$1:A$31="",0,1/COUNTIF(A$1:A$31,A$1:A$31))) &lt; ROW(A31),"",INDEX(A:A,SMALL(IF(COUNTIF(OFFSET(A$1,,,ROW($1:$31)),A$1:A$31)=1,ROW($1:$31)),ROW(A31))))</f>
        <v/>
      </c>
    </row>
    <row r="33" spans="1:10" x14ac:dyDescent="0.25">
      <c r="A33" s="99"/>
      <c r="B33" s="99"/>
      <c r="C33" s="99"/>
      <c r="D33" s="99"/>
      <c r="E33" s="99"/>
      <c r="F33" s="99"/>
      <c r="G33" s="99"/>
      <c r="H33" s="99"/>
      <c r="I33" s="99"/>
      <c r="J33" s="99"/>
    </row>
  </sheetData>
  <sheetProtection algorithmName="SHA-512" hashValue="AZgt2xAvsJ/DDUiJ1FrKtcq3Z8vFNshliI7u2hgUrO8QwTdalEWYEPOEnDDsYhGuJ4mNSuuH1240zWur69c3nQ==" saltValue="t5G30sH8cAJnAnnl2lE+7A==" spinCount="100000" sheet="1" objects="1" scenarios="1" selectLockedCells="1"/>
  <mergeCells count="2">
    <mergeCell ref="N1:S1"/>
    <mergeCell ref="M8:T10"/>
  </mergeCells>
  <conditionalFormatting sqref="A21">
    <cfRule type="expression" dxfId="3" priority="3">
      <formula>ROW()=EVEN(ROW())</formula>
    </cfRule>
  </conditionalFormatting>
  <conditionalFormatting sqref="A2:J30">
    <cfRule type="expression" dxfId="2" priority="1">
      <formula>ROW()=EVEN(ROW())</formula>
    </cfRule>
  </conditionalFormatting>
  <dataValidations count="2">
    <dataValidation type="decimal" operator="lessThan" allowBlank="1" showInputMessage="1" showErrorMessage="1" sqref="Q4:Q5" xr:uid="{00000000-0002-0000-0100-000000000000}">
      <formula1>0</formula1>
    </dataValidation>
    <dataValidation type="decimal" operator="greaterThan" allowBlank="1" showInputMessage="1" showErrorMessage="1" sqref="Q6" xr:uid="{00000000-0002-0000-0100-000001000000}">
      <formula1>0</formula1>
    </dataValidation>
  </dataValidations>
  <printOptions horizontalCentered="1" verticalCentered="1"/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W35"/>
  <sheetViews>
    <sheetView workbookViewId="0">
      <selection activeCell="A27" sqref="A27"/>
    </sheetView>
  </sheetViews>
  <sheetFormatPr baseColWidth="10" defaultColWidth="11.28515625" defaultRowHeight="15" x14ac:dyDescent="0.25"/>
  <cols>
    <col min="1" max="1" width="30" style="140" customWidth="1"/>
    <col min="2" max="2" width="20.140625" style="140" bestFit="1" customWidth="1"/>
    <col min="3" max="3" width="13" style="140" bestFit="1" customWidth="1"/>
    <col min="4" max="4" width="10.28515625" style="140" bestFit="1" customWidth="1"/>
    <col min="5" max="5" width="13" style="140" bestFit="1" customWidth="1"/>
    <col min="6" max="6" width="20" style="140" bestFit="1" customWidth="1"/>
    <col min="7" max="9" width="20" style="140" customWidth="1"/>
    <col min="10" max="11" width="11.28515625" style="140" customWidth="1"/>
    <col min="12" max="16384" width="11.28515625" style="140"/>
  </cols>
  <sheetData>
    <row r="1" spans="1:23" ht="15.75" thickBot="1" x14ac:dyDescent="0.3">
      <c r="A1" s="73" t="s">
        <v>203</v>
      </c>
      <c r="B1" s="74" t="s">
        <v>53</v>
      </c>
      <c r="C1" s="74" t="s">
        <v>204</v>
      </c>
      <c r="D1" s="74" t="s">
        <v>205</v>
      </c>
      <c r="E1" s="74" t="s">
        <v>206</v>
      </c>
      <c r="F1" s="74" t="s">
        <v>207</v>
      </c>
      <c r="G1" s="138" t="s">
        <v>208</v>
      </c>
      <c r="H1" s="138" t="s">
        <v>209</v>
      </c>
      <c r="I1" s="138" t="s">
        <v>559</v>
      </c>
      <c r="J1" s="92"/>
      <c r="K1" s="93" t="s">
        <v>184</v>
      </c>
      <c r="O1" s="132" t="s">
        <v>63</v>
      </c>
      <c r="P1" s="133" t="s">
        <v>560</v>
      </c>
      <c r="Q1" s="134">
        <v>96</v>
      </c>
      <c r="R1" s="134">
        <v>40</v>
      </c>
      <c r="S1" s="134">
        <v>40</v>
      </c>
      <c r="T1" s="134">
        <v>40</v>
      </c>
      <c r="U1" s="146">
        <v>3.8</v>
      </c>
      <c r="V1" s="145">
        <v>3.65</v>
      </c>
      <c r="W1" s="144">
        <v>0.96052631578947367</v>
      </c>
    </row>
    <row r="2" spans="1:23" x14ac:dyDescent="0.25">
      <c r="A2" s="132" t="s">
        <v>71</v>
      </c>
      <c r="B2" s="133" t="s">
        <v>560</v>
      </c>
      <c r="C2" s="134">
        <v>96</v>
      </c>
      <c r="D2" s="134">
        <v>40</v>
      </c>
      <c r="E2" s="134">
        <v>40</v>
      </c>
      <c r="F2" s="134">
        <v>50</v>
      </c>
      <c r="G2" s="146">
        <v>3.8</v>
      </c>
      <c r="H2" s="145">
        <v>3.65</v>
      </c>
      <c r="I2" s="145">
        <v>0.96052631578947367</v>
      </c>
      <c r="J2" s="96"/>
      <c r="K2" s="97" t="str">
        <f t="array" aca="1" ref="K2" ca="1">IF(SUM(IF(A$1:A$35="",0,1/COUNTIF(A$1:A$35,A$1:A$35))) &lt; ROW(A2),"",INDEX(A:A,SMALL(IF(COUNTIF(OFFSET(A$1,,,ROW($1:$35)),A$1:A$35)=1,ROW($1:$35)),ROW(A2))))</f>
        <v>SMILE-G3-S5</v>
      </c>
    </row>
    <row r="3" spans="1:23" x14ac:dyDescent="0.25">
      <c r="A3" s="132" t="s">
        <v>74</v>
      </c>
      <c r="B3" s="133" t="s">
        <v>560</v>
      </c>
      <c r="C3" s="134">
        <v>96</v>
      </c>
      <c r="D3" s="134">
        <v>40</v>
      </c>
      <c r="E3" s="134">
        <v>40</v>
      </c>
      <c r="F3" s="134">
        <v>50</v>
      </c>
      <c r="G3" s="146">
        <v>3.8</v>
      </c>
      <c r="H3" s="146">
        <v>3.65</v>
      </c>
      <c r="I3" s="145">
        <v>0.96052631578947367</v>
      </c>
      <c r="J3" s="96"/>
      <c r="K3" s="97" t="str">
        <f t="array" aca="1" ref="K3" ca="1">IF(SUM(IF(A$1:A$35="",0,1/COUNTIF(A$1:A$35,A$1:A$35))) &lt; ROW(A3),"",INDEX(A:A,SMALL(IF(COUNTIF(OFFSET(A$1,,,ROW($1:$35)),A$1:A$35)=1,ROW($1:$35)),ROW(A3))))</f>
        <v>SMILE-G3-T4</v>
      </c>
    </row>
    <row r="4" spans="1:23" x14ac:dyDescent="0.25">
      <c r="A4" s="132" t="s">
        <v>82</v>
      </c>
      <c r="B4" s="133" t="s">
        <v>560</v>
      </c>
      <c r="C4" s="134">
        <v>96</v>
      </c>
      <c r="D4" s="134">
        <v>40</v>
      </c>
      <c r="E4" s="134">
        <v>40</v>
      </c>
      <c r="F4" s="134">
        <v>50</v>
      </c>
      <c r="G4" s="146">
        <v>3.8</v>
      </c>
      <c r="H4" s="145">
        <v>3.65</v>
      </c>
      <c r="I4" s="145">
        <v>0.96052631578947367</v>
      </c>
      <c r="J4" s="96"/>
      <c r="K4" s="97" t="str">
        <f t="array" aca="1" ref="K4" ca="1">IF(SUM(IF(A$1:A$35="",0,1/COUNTIF(A$1:A$35,A$1:A$35))) &lt; ROW(A4),"",INDEX(A:A,SMALL(IF(COUNTIF(OFFSET(A$1,,,ROW($1:$35)),A$1:A$35)=1,ROW($1:$35)),ROW(A4))))</f>
        <v>SMILE-G3-T6</v>
      </c>
    </row>
    <row r="5" spans="1:23" x14ac:dyDescent="0.25">
      <c r="A5" s="132" t="s">
        <v>85</v>
      </c>
      <c r="B5" s="133" t="s">
        <v>560</v>
      </c>
      <c r="C5" s="134">
        <v>96</v>
      </c>
      <c r="D5" s="134">
        <v>40</v>
      </c>
      <c r="E5" s="134">
        <v>40</v>
      </c>
      <c r="F5" s="134">
        <v>50</v>
      </c>
      <c r="G5" s="146">
        <v>3.8</v>
      </c>
      <c r="H5" s="146">
        <v>3.65</v>
      </c>
      <c r="I5" s="145">
        <v>0.96052631578947367</v>
      </c>
      <c r="J5" s="96"/>
      <c r="K5" s="97" t="str">
        <f t="array" aca="1" ref="K5" ca="1">IF(SUM(IF(A$1:A$35="",0,1/COUNTIF(A$1:A$35,A$1:A$35))) &lt; ROW(A5),"",INDEX(A:A,SMALL(IF(COUNTIF(OFFSET(A$1,,,ROW($1:$35)),A$1:A$35)=1,ROW($1:$35)),ROW(A5))))</f>
        <v>SMILE-G3-T8</v>
      </c>
    </row>
    <row r="6" spans="1:23" x14ac:dyDescent="0.25">
      <c r="A6" s="132" t="s">
        <v>87</v>
      </c>
      <c r="B6" s="133" t="s">
        <v>560</v>
      </c>
      <c r="C6" s="134">
        <v>96</v>
      </c>
      <c r="D6" s="134">
        <v>40</v>
      </c>
      <c r="E6" s="134">
        <v>40</v>
      </c>
      <c r="F6" s="134">
        <v>50</v>
      </c>
      <c r="G6" s="146">
        <v>3.8</v>
      </c>
      <c r="H6" s="145">
        <v>3.65</v>
      </c>
      <c r="I6" s="145">
        <v>0.96052631578947367</v>
      </c>
      <c r="J6" s="96"/>
      <c r="K6" s="97" t="str">
        <f t="array" aca="1" ref="K6" ca="1">IF(SUM(IF(A$1:A$35="",0,1/COUNTIF(A$1:A$35,A$1:A$35))) &lt; ROW(A6),"",INDEX(A:A,SMALL(IF(COUNTIF(OFFSET(A$1,,,ROW($1:$35)),A$1:A$35)=1,ROW($1:$35)),ROW(A6))))</f>
        <v>SMILE-G3-T10</v>
      </c>
    </row>
    <row r="7" spans="1:23" x14ac:dyDescent="0.25">
      <c r="A7" s="132" t="s">
        <v>89</v>
      </c>
      <c r="B7" s="133" t="s">
        <v>560</v>
      </c>
      <c r="C7" s="134">
        <v>96</v>
      </c>
      <c r="D7" s="134">
        <v>40</v>
      </c>
      <c r="E7" s="134">
        <v>40</v>
      </c>
      <c r="F7" s="134">
        <v>50</v>
      </c>
      <c r="G7" s="146">
        <v>3.8</v>
      </c>
      <c r="H7" s="146">
        <v>3.65</v>
      </c>
      <c r="I7" s="145">
        <v>0.96052631578947367</v>
      </c>
      <c r="J7" s="96"/>
      <c r="K7" s="97" t="str">
        <f t="array" aca="1" ref="K7" ca="1">IF(SUM(IF(A$1:A$35="",0,1/COUNTIF(A$1:A$35,A$1:A$35))) &lt; ROW(A7),"",INDEX(A:A,SMALL(IF(COUNTIF(OFFSET(A$1,,,ROW($1:$35)),A$1:A$35)=1,ROW($1:$35)),ROW(A7))))</f>
        <v>SMILE-G3-T12</v>
      </c>
    </row>
    <row r="8" spans="1:23" x14ac:dyDescent="0.25">
      <c r="A8" s="132" t="s">
        <v>95</v>
      </c>
      <c r="B8" s="133" t="s">
        <v>560</v>
      </c>
      <c r="C8" s="134">
        <v>96</v>
      </c>
      <c r="D8" s="134">
        <v>40</v>
      </c>
      <c r="E8" s="134">
        <v>40</v>
      </c>
      <c r="F8" s="134">
        <v>50</v>
      </c>
      <c r="G8" s="146">
        <v>3.8</v>
      </c>
      <c r="H8" s="145">
        <v>3.65</v>
      </c>
      <c r="I8" s="145">
        <v>0.96052631578947367</v>
      </c>
      <c r="J8" s="96"/>
      <c r="K8" s="97" t="str">
        <f t="array" aca="1" ref="K8" ca="1">IF(SUM(IF(A$1:A$35="",0,1/COUNTIF(A$1:A$35,A$1:A$35))) &lt; ROW(A8),"",INDEX(A:A,SMALL(IF(COUNTIF(OFFSET(A$1,,,ROW($1:$35)),A$1:A$35)=1,ROW($1:$35)),ROW(A8))))</f>
        <v>SMILE-G3-T15</v>
      </c>
    </row>
    <row r="9" spans="1:23" x14ac:dyDescent="0.25">
      <c r="A9" s="132" t="s">
        <v>99</v>
      </c>
      <c r="B9" s="133" t="s">
        <v>560</v>
      </c>
      <c r="C9" s="134">
        <v>96</v>
      </c>
      <c r="D9" s="134">
        <v>40</v>
      </c>
      <c r="E9" s="134">
        <v>40</v>
      </c>
      <c r="F9" s="134">
        <v>50</v>
      </c>
      <c r="G9" s="146">
        <v>3.8</v>
      </c>
      <c r="H9" s="146">
        <v>3.65</v>
      </c>
      <c r="I9" s="145">
        <v>0.96052631578947367</v>
      </c>
      <c r="J9" s="96"/>
      <c r="K9" s="97" t="str">
        <f t="array" aca="1" ref="K9" ca="1">IF(SUM(IF(A$1:A$35="",0,1/COUNTIF(A$1:A$35,A$1:A$35))) &lt; ROW(A9),"",INDEX(A:A,SMALL(IF(COUNTIF(OFFSET(A$1,,,ROW($1:$35)),A$1:A$35)=1,ROW($1:$35)),ROW(A9))))</f>
        <v>SMILE-G3-T20</v>
      </c>
    </row>
    <row r="10" spans="1:23" x14ac:dyDescent="0.25">
      <c r="A10" s="132" t="s">
        <v>163</v>
      </c>
      <c r="B10" s="133" t="s">
        <v>561</v>
      </c>
      <c r="C10" s="134">
        <v>51.2</v>
      </c>
      <c r="D10" s="134">
        <v>56</v>
      </c>
      <c r="E10" s="134">
        <v>56</v>
      </c>
      <c r="F10" s="134">
        <v>56</v>
      </c>
      <c r="G10" s="146">
        <v>2.8672000000000004</v>
      </c>
      <c r="H10" s="145">
        <v>2.7525120000000003</v>
      </c>
      <c r="I10" s="145">
        <v>0.96</v>
      </c>
      <c r="J10" s="96"/>
      <c r="K10" s="97" t="str">
        <f t="array" aca="1" ref="K10" ca="1">IF(SUM(IF(A$1:A$35="",0,1/COUNTIF(A$1:A$35,A$1:A$35))) &lt; ROW(A10),"",INDEX(A:A,SMALL(IF(COUNTIF(OFFSET(A$1,,,ROW($1:$35)),A$1:A$35)=1,ROW($1:$35)),ROW(A10))))</f>
        <v>SMILE-i3</v>
      </c>
    </row>
    <row r="11" spans="1:23" x14ac:dyDescent="0.25">
      <c r="A11" s="132" t="s">
        <v>138</v>
      </c>
      <c r="B11" s="133" t="s">
        <v>562</v>
      </c>
      <c r="C11" s="134">
        <v>256</v>
      </c>
      <c r="D11" s="134">
        <v>32</v>
      </c>
      <c r="E11" s="134">
        <v>32</v>
      </c>
      <c r="F11" s="134">
        <v>32</v>
      </c>
      <c r="G11" s="146">
        <v>8.1920000000000002</v>
      </c>
      <c r="H11" s="146">
        <v>7.7824</v>
      </c>
      <c r="I11" s="145">
        <v>0.95</v>
      </c>
      <c r="J11" s="96"/>
      <c r="K11" s="97" t="str">
        <f t="array" aca="1" ref="K11" ca="1">IF(SUM(IF(A$1:A$35="",0,1/COUNTIF(A$1:A$35,A$1:A$35))) &lt; ROW(A11),"",INDEX(A:A,SMALL(IF(COUNTIF(OFFSET(A$1,,,ROW($1:$35)),A$1:A$35)=1,ROW($1:$35)),ROW(A11))))</f>
        <v>SMILE-Hi5</v>
      </c>
    </row>
    <row r="12" spans="1:23" x14ac:dyDescent="0.25">
      <c r="A12" s="132" t="s">
        <v>138</v>
      </c>
      <c r="B12" s="133" t="s">
        <v>563</v>
      </c>
      <c r="C12" s="134">
        <v>153.6</v>
      </c>
      <c r="D12" s="134">
        <v>32</v>
      </c>
      <c r="E12" s="134">
        <v>32</v>
      </c>
      <c r="F12" s="134">
        <v>32</v>
      </c>
      <c r="G12" s="146">
        <v>4.9151999999999996</v>
      </c>
      <c r="H12" s="145">
        <v>4.6694399999999998</v>
      </c>
      <c r="I12" s="145">
        <v>0.95</v>
      </c>
      <c r="J12" s="96"/>
      <c r="K12" s="97" t="str">
        <f t="array" aca="1" ref="K12" ca="1">IF(SUM(IF(A$1:A$35="",0,1/COUNTIF(A$1:A$35,A$1:A$35))) &lt; ROW(A12),"",INDEX(A:A,SMALL(IF(COUNTIF(OFFSET(A$1,,,ROW($1:$35)),A$1:A$35)=1,ROW($1:$35)),ROW(A12))))</f>
        <v>SMILE-Hi10</v>
      </c>
    </row>
    <row r="13" spans="1:23" x14ac:dyDescent="0.25">
      <c r="A13" s="132" t="s">
        <v>143</v>
      </c>
      <c r="B13" s="133" t="s">
        <v>562</v>
      </c>
      <c r="C13" s="134">
        <v>256</v>
      </c>
      <c r="D13" s="134">
        <v>32</v>
      </c>
      <c r="E13" s="134">
        <v>32</v>
      </c>
      <c r="F13" s="134">
        <v>32</v>
      </c>
      <c r="G13" s="146">
        <v>8.1920000000000002</v>
      </c>
      <c r="H13" s="146">
        <v>7.7824</v>
      </c>
      <c r="I13" s="145">
        <v>0.95</v>
      </c>
      <c r="J13" s="96"/>
      <c r="K13" s="97" t="str">
        <f t="array" aca="1" ref="K13" ca="1">IF(SUM(IF(A$1:A$35="",0,1/COUNTIF(A$1:A$35,A$1:A$35))) &lt; ROW(A13),"",INDEX(A:A,SMALL(IF(COUNTIF(OFFSET(A$1,,,ROW($1:$35)),A$1:A$35)=1,ROW($1:$35)),ROW(A13))))</f>
        <v>STORION H29 (M7790-S)</v>
      </c>
    </row>
    <row r="14" spans="1:23" x14ac:dyDescent="0.25">
      <c r="A14" s="132" t="s">
        <v>101</v>
      </c>
      <c r="B14" s="133" t="s">
        <v>564</v>
      </c>
      <c r="C14" s="134">
        <v>76.8</v>
      </c>
      <c r="D14" s="134">
        <v>90</v>
      </c>
      <c r="E14" s="134">
        <v>90</v>
      </c>
      <c r="F14" s="134">
        <v>90</v>
      </c>
      <c r="G14" s="146">
        <v>7.2</v>
      </c>
      <c r="H14" s="145">
        <v>6.9119999999999999</v>
      </c>
      <c r="I14" s="145">
        <v>0.96</v>
      </c>
      <c r="J14" s="96"/>
      <c r="K14" s="97" t="str">
        <f t="array" aca="1" ref="K14" ca="1">IF(SUM(IF(A$1:A$35="",0,1/COUNTIF(A$1:A$35,A$1:A$35))) &lt; ROW(A14),"",INDEX(A:A,SMALL(IF(COUNTIF(OFFSET(A$1,,,ROW($1:$35)),A$1:A$35)=1,ROW($1:$35)),ROW(A14))))</f>
        <v>STORION H30 (M7790-S)</v>
      </c>
    </row>
    <row r="15" spans="1:23" x14ac:dyDescent="0.25">
      <c r="A15" s="132" t="s">
        <v>107</v>
      </c>
      <c r="B15" s="133" t="s">
        <v>564</v>
      </c>
      <c r="C15" s="134">
        <v>76.8</v>
      </c>
      <c r="D15" s="134">
        <v>90</v>
      </c>
      <c r="E15" s="134">
        <v>90</v>
      </c>
      <c r="F15" s="134">
        <v>90</v>
      </c>
      <c r="G15" s="146">
        <v>7.2</v>
      </c>
      <c r="H15" s="146">
        <v>6.9119999999999999</v>
      </c>
      <c r="I15" s="145">
        <v>0.96</v>
      </c>
      <c r="J15" s="96"/>
      <c r="K15" s="97" t="str">
        <f t="array" aca="1" ref="K15" ca="1">IF(SUM(IF(A$1:A$35="",0,1/COUNTIF(A$1:A$35,A$1:A$35))) &lt; ROW(A15),"",INDEX(A:A,SMALL(IF(COUNTIF(OFFSET(A$1,,,ROW($1:$35)),A$1:A$35)=1,ROW($1:$35)),ROW(A15))))</f>
        <v>STORION H29 (M38210-SC)</v>
      </c>
    </row>
    <row r="16" spans="1:23" x14ac:dyDescent="0.25">
      <c r="A16" s="132" t="s">
        <v>105</v>
      </c>
      <c r="B16" s="133" t="s">
        <v>565</v>
      </c>
      <c r="C16" s="134">
        <v>38.4</v>
      </c>
      <c r="D16" s="134">
        <v>105</v>
      </c>
      <c r="E16" s="134">
        <v>105</v>
      </c>
      <c r="F16" s="134">
        <v>105</v>
      </c>
      <c r="G16" s="146">
        <v>8.4</v>
      </c>
      <c r="H16" s="145">
        <v>8.0640000000000001</v>
      </c>
      <c r="I16" s="145">
        <v>0.96</v>
      </c>
      <c r="J16" s="96"/>
      <c r="K16" s="97" t="str">
        <f t="array" aca="1" ref="K16" ca="1">IF(SUM(IF(A$1:A$35="",0,1/COUNTIF(A$1:A$35,A$1:A$35))) &lt; ROW(A16),"",INDEX(A:A,SMALL(IF(COUNTIF(OFFSET(A$1,,,ROW($1:$35)),A$1:A$35)=1,ROW($1:$35)),ROW(A16))))</f>
        <v>STORION H30 (M38210-SC)</v>
      </c>
    </row>
    <row r="17" spans="1:11" x14ac:dyDescent="0.25">
      <c r="A17" s="132" t="s">
        <v>111</v>
      </c>
      <c r="B17" s="133" t="s">
        <v>565</v>
      </c>
      <c r="C17" s="134">
        <v>38.4</v>
      </c>
      <c r="D17" s="134">
        <v>105</v>
      </c>
      <c r="E17" s="134">
        <v>105</v>
      </c>
      <c r="F17" s="134">
        <v>105</v>
      </c>
      <c r="G17" s="146">
        <v>8.4</v>
      </c>
      <c r="H17" s="146">
        <v>8.0640000000000001</v>
      </c>
      <c r="I17" s="145">
        <v>0.96</v>
      </c>
      <c r="J17" s="96"/>
      <c r="K17" s="97" t="str">
        <f t="array" aca="1" ref="K17" ca="1">IF(SUM(IF(A$1:A$35="",0,1/COUNTIF(A$1:A$35,A$1:A$35))) &lt; ROW(A17),"",INDEX(A:A,SMALL(IF(COUNTIF(OFFSET(A$1,,,ROW($1:$35)),A$1:A$35)=1,ROW($1:$35)),ROW(A17))))</f>
        <v>STORION H50 Indoor (0,5C)</v>
      </c>
    </row>
    <row r="18" spans="1:11" x14ac:dyDescent="0.25">
      <c r="A18" s="132" t="s">
        <v>112</v>
      </c>
      <c r="B18" s="133" t="s">
        <v>566</v>
      </c>
      <c r="C18" s="134">
        <f>13*38.4</f>
        <v>499.2</v>
      </c>
      <c r="D18" s="134">
        <v>105</v>
      </c>
      <c r="E18" s="134">
        <v>105</v>
      </c>
      <c r="F18" s="134">
        <v>105</v>
      </c>
      <c r="G18" s="146">
        <f>13*8.4</f>
        <v>109.2</v>
      </c>
      <c r="H18" s="146">
        <f>13*8.064</f>
        <v>104.83199999999999</v>
      </c>
      <c r="I18" s="145">
        <v>0.96</v>
      </c>
      <c r="J18" s="96"/>
      <c r="K18" s="97" t="str">
        <f t="array" aca="1" ref="K18" ca="1">IF(SUM(IF(A$1:A$35="",0,1/COUNTIF(A$1:A$35,A$1:A$35))) &lt; ROW(A18),"",INDEX(A:A,SMALL(IF(COUNTIF(OFFSET(A$1,,,ROW($1:$35)),A$1:A$35)=1,ROW($1:$35)),ROW(A18))))</f>
        <v>STORION H50 Outdoor (0,5C)</v>
      </c>
    </row>
    <row r="19" spans="1:11" x14ac:dyDescent="0.25">
      <c r="A19" s="132" t="s">
        <v>11</v>
      </c>
      <c r="B19" s="133" t="s">
        <v>23</v>
      </c>
      <c r="C19" s="134">
        <f>12*38.4</f>
        <v>460.79999999999995</v>
      </c>
      <c r="D19" s="134">
        <v>105</v>
      </c>
      <c r="E19" s="134">
        <v>105</v>
      </c>
      <c r="F19" s="134">
        <v>105</v>
      </c>
      <c r="G19" s="146">
        <f>12*8.4</f>
        <v>100.80000000000001</v>
      </c>
      <c r="H19" s="146">
        <f>12*8.064</f>
        <v>96.768000000000001</v>
      </c>
      <c r="I19" s="145">
        <v>0.96</v>
      </c>
      <c r="J19" s="96"/>
      <c r="K19" s="97" t="str">
        <f t="array" aca="1" ref="K19" ca="1">IF(SUM(IF(A$1:A$35="",0,1/COUNTIF(A$1:A$35,A$1:A$35))) &lt; ROW(A19),"",INDEX(A:A,SMALL(IF(COUNTIF(OFFSET(A$1,,,ROW($1:$35)),A$1:A$35)=1,ROW($1:$35)),ROW(A19))))</f>
        <v>STORION T30</v>
      </c>
    </row>
    <row r="20" spans="1:11" x14ac:dyDescent="0.25">
      <c r="A20" s="132" t="s">
        <v>567</v>
      </c>
      <c r="B20" s="133" t="s">
        <v>568</v>
      </c>
      <c r="C20" s="134">
        <v>51.2</v>
      </c>
      <c r="D20" s="134">
        <v>112</v>
      </c>
      <c r="E20" s="134">
        <v>112</v>
      </c>
      <c r="F20" s="134">
        <v>112</v>
      </c>
      <c r="G20" s="146">
        <v>5.7344000000000008</v>
      </c>
      <c r="H20" s="145">
        <v>5.1609600000000011</v>
      </c>
      <c r="I20" s="145">
        <v>0.9</v>
      </c>
      <c r="J20" s="96"/>
      <c r="K20" s="97" t="str">
        <f t="array" aca="1" ref="K20" ca="1">IF(SUM(IF(A$1:A$35="",0,1/COUNTIF(A$1:A$35,A$1:A$35))) &lt; ROW(A20),"",INDEX(A:A,SMALL(IF(COUNTIF(OFFSET(A$1,,,ROW($1:$35)),A$1:A$35)=1,ROW($1:$35)),ROW(A20))))</f>
        <v>SMILE 5 (2021)</v>
      </c>
    </row>
    <row r="21" spans="1:11" x14ac:dyDescent="0.25">
      <c r="A21" s="132" t="s">
        <v>128</v>
      </c>
      <c r="B21" s="133" t="s">
        <v>569</v>
      </c>
      <c r="C21" s="134">
        <v>51.2</v>
      </c>
      <c r="D21" s="134">
        <v>56</v>
      </c>
      <c r="E21" s="134">
        <v>56</v>
      </c>
      <c r="F21" s="134">
        <v>56</v>
      </c>
      <c r="G21" s="146">
        <v>5.7344000000000008</v>
      </c>
      <c r="H21" s="146">
        <v>5.5050240000000006</v>
      </c>
      <c r="I21" s="145">
        <v>0.96</v>
      </c>
      <c r="J21" s="96"/>
      <c r="K21" s="97" t="str">
        <f t="array" aca="1" ref="K21" ca="1">IF(SUM(IF(A$1:A$35="",0,1/COUNTIF(A$1:A$35,A$1:A$35))) &lt; ROW(A21),"",INDEX(A:A,SMALL(IF(COUNTIF(OFFSET(A$1,,,ROW($1:$35)),A$1:A$35)=1,ROW($1:$35)),ROW(A21))))</f>
        <v>SMILE T10 (2021)</v>
      </c>
    </row>
    <row r="22" spans="1:11" x14ac:dyDescent="0.25">
      <c r="A22" s="132" t="s">
        <v>128</v>
      </c>
      <c r="B22" s="133" t="s">
        <v>570</v>
      </c>
      <c r="C22" s="134">
        <v>51.2</v>
      </c>
      <c r="D22" s="134">
        <v>56</v>
      </c>
      <c r="E22" s="134">
        <v>56</v>
      </c>
      <c r="F22" s="134">
        <v>56</v>
      </c>
      <c r="G22" s="146">
        <v>2.8672000000000004</v>
      </c>
      <c r="H22" s="145">
        <v>2.7525120000000003</v>
      </c>
      <c r="I22" s="145">
        <v>0.96</v>
      </c>
      <c r="J22" s="96"/>
      <c r="K22" s="97" t="str">
        <f t="array" aca="1" ref="K22" ca="1">IF(SUM(IF(A$1:A$35="",0,1/COUNTIF(A$1:A$35,A$1:A$35))) &lt; ROW(A22),"",INDEX(A:A,SMALL(IF(COUNTIF(OFFSET(A$1,,,ROW($1:$35)),A$1:A$35)=1,ROW($1:$35)),ROW(A22))))</f>
        <v>STORION T50</v>
      </c>
    </row>
    <row r="23" spans="1:11" x14ac:dyDescent="0.25">
      <c r="A23" s="132" t="s">
        <v>166</v>
      </c>
      <c r="B23" s="133" t="s">
        <v>571</v>
      </c>
      <c r="C23" s="134">
        <v>51.2</v>
      </c>
      <c r="D23" s="134">
        <v>56</v>
      </c>
      <c r="E23" s="134">
        <v>56</v>
      </c>
      <c r="F23" s="134">
        <v>56</v>
      </c>
      <c r="G23" s="146">
        <v>2.8672000000000004</v>
      </c>
      <c r="H23" s="146">
        <v>2.5804800000000006</v>
      </c>
      <c r="I23" s="145">
        <v>0.9</v>
      </c>
      <c r="J23" s="96"/>
      <c r="K23" s="97" t="str">
        <f t="array" aca="1" ref="K23" ca="1">IF(SUM(IF(A$1:A$35="",0,1/COUNTIF(A$1:A$35,A$1:A$35))) &lt; ROW(A23),"",INDEX(A:A,SMALL(IF(COUNTIF(OFFSET(A$1,,,ROW($1:$35)),A$1:A$35)=1,ROW($1:$35)),ROW(A23))))</f>
        <v>STORION T100</v>
      </c>
    </row>
    <row r="24" spans="1:11" x14ac:dyDescent="0.25">
      <c r="A24" s="132" t="s">
        <v>128</v>
      </c>
      <c r="B24" s="133" t="s">
        <v>572</v>
      </c>
      <c r="C24" s="134">
        <v>51.2</v>
      </c>
      <c r="D24" s="134">
        <v>56</v>
      </c>
      <c r="E24" s="134">
        <v>56</v>
      </c>
      <c r="F24" s="134">
        <v>56</v>
      </c>
      <c r="G24" s="146">
        <v>5.8</v>
      </c>
      <c r="H24" s="145">
        <v>5.22</v>
      </c>
      <c r="I24" s="145">
        <v>0.9</v>
      </c>
      <c r="J24" s="96"/>
      <c r="K24" s="97" t="str">
        <f t="array" aca="1" ref="K24" ca="1">IF(SUM(IF(A$1:A$35="",0,1/COUNTIF(A$1:A$35,A$1:A$35))) &lt; ROW(A24),"",INDEX(A:A,SMALL(IF(COUNTIF(OFFSET(A$1,,,ROW($1:$35)),A$1:A$35)=1,ROW($1:$35)),ROW(A24))))</f>
        <v/>
      </c>
    </row>
    <row r="25" spans="1:11" x14ac:dyDescent="0.25">
      <c r="A25" s="132" t="s">
        <v>573</v>
      </c>
      <c r="B25" s="133" t="s">
        <v>568</v>
      </c>
      <c r="C25" s="134">
        <v>51.2</v>
      </c>
      <c r="D25" s="134">
        <v>112</v>
      </c>
      <c r="E25" s="134">
        <v>112</v>
      </c>
      <c r="F25" s="134">
        <v>112</v>
      </c>
      <c r="G25" s="146">
        <v>5.7344000000000008</v>
      </c>
      <c r="H25" s="146">
        <v>5.1609600000000011</v>
      </c>
      <c r="I25" s="145">
        <v>0.9</v>
      </c>
      <c r="J25" s="96"/>
      <c r="K25" s="97" t="str">
        <f t="array" aca="1" ref="K25" ca="1">IF(SUM(IF(A$1:A$35="",0,1/COUNTIF(A$1:A$35,A$1:A$35))) &lt; ROW(A25),"",INDEX(A:A,SMALL(IF(COUNTIF(OFFSET(A$1,,,ROW($1:$35)),A$1:A$35)=1,ROW($1:$35)),ROW(A25))))</f>
        <v/>
      </c>
    </row>
    <row r="26" spans="1:11" x14ac:dyDescent="0.25">
      <c r="A26" s="132" t="s">
        <v>574</v>
      </c>
      <c r="B26" s="133" t="s">
        <v>568</v>
      </c>
      <c r="C26" s="134">
        <v>51.2</v>
      </c>
      <c r="D26" s="134">
        <v>112</v>
      </c>
      <c r="E26" s="134">
        <v>112</v>
      </c>
      <c r="F26" s="134">
        <v>112</v>
      </c>
      <c r="G26" s="146">
        <v>5.7344000000000008</v>
      </c>
      <c r="H26" s="145">
        <v>5.1609600000000011</v>
      </c>
      <c r="I26" s="145">
        <v>0.9</v>
      </c>
      <c r="J26" s="96"/>
      <c r="K26" s="97" t="str">
        <f t="array" aca="1" ref="K26" ca="1">IF(SUM(IF(A$1:A$35="",0,1/COUNTIF(A$1:A$35,A$1:A$35))) &lt; ROW(A26),"",INDEX(A:A,SMALL(IF(COUNTIF(OFFSET(A$1,,,ROW($1:$35)),A$1:A$35)=1,ROW($1:$35)),ROW(A26))))</f>
        <v/>
      </c>
    </row>
    <row r="27" spans="1:11" x14ac:dyDescent="0.25">
      <c r="A27" s="132"/>
      <c r="B27" s="133"/>
      <c r="C27" s="134"/>
      <c r="D27" s="134"/>
      <c r="E27" s="134"/>
      <c r="F27" s="134"/>
      <c r="G27" s="146"/>
      <c r="H27" s="145"/>
      <c r="I27" s="145"/>
      <c r="J27" s="96"/>
      <c r="K27" s="97"/>
    </row>
    <row r="28" spans="1:11" x14ac:dyDescent="0.25">
      <c r="A28" s="132"/>
      <c r="B28" s="133"/>
      <c r="C28" s="134"/>
      <c r="D28" s="134"/>
      <c r="E28" s="134"/>
      <c r="F28" s="134"/>
      <c r="G28" s="146"/>
      <c r="H28" s="145"/>
      <c r="I28" s="145"/>
      <c r="J28" s="96"/>
      <c r="K28" s="97"/>
    </row>
    <row r="29" spans="1:11" x14ac:dyDescent="0.25">
      <c r="A29" s="132"/>
      <c r="B29" s="133"/>
      <c r="C29" s="134"/>
      <c r="D29" s="134"/>
      <c r="E29" s="134"/>
      <c r="F29" s="134"/>
      <c r="G29" s="146"/>
      <c r="H29" s="145"/>
      <c r="I29" s="145"/>
      <c r="J29" s="96"/>
      <c r="K29" s="97"/>
    </row>
    <row r="30" spans="1:11" x14ac:dyDescent="0.25">
      <c r="A30" s="132"/>
      <c r="B30" s="133"/>
      <c r="C30" s="134"/>
      <c r="D30" s="134"/>
      <c r="E30" s="134"/>
      <c r="F30" s="134"/>
      <c r="G30" s="146"/>
      <c r="H30" s="145"/>
      <c r="I30" s="145"/>
      <c r="J30" s="96"/>
      <c r="K30" s="97"/>
    </row>
    <row r="31" spans="1:11" x14ac:dyDescent="0.25">
      <c r="A31" s="132"/>
      <c r="B31" s="133"/>
      <c r="C31" s="134"/>
      <c r="D31" s="134"/>
      <c r="E31" s="134"/>
      <c r="F31" s="134"/>
      <c r="G31" s="146"/>
      <c r="H31" s="146"/>
      <c r="I31" s="145"/>
      <c r="J31" s="96"/>
      <c r="K31" s="97"/>
    </row>
    <row r="32" spans="1:11" x14ac:dyDescent="0.25">
      <c r="A32" s="132"/>
      <c r="B32" s="133"/>
      <c r="C32" s="134"/>
      <c r="D32" s="134"/>
      <c r="E32" s="134"/>
      <c r="F32" s="134"/>
      <c r="G32" s="134"/>
      <c r="H32" s="134"/>
      <c r="I32" s="134"/>
      <c r="J32" s="96"/>
      <c r="K32" s="97"/>
    </row>
    <row r="33" spans="1:11" x14ac:dyDescent="0.25">
      <c r="A33" s="132"/>
      <c r="B33" s="133"/>
      <c r="C33" s="134"/>
      <c r="D33" s="134"/>
      <c r="E33" s="134"/>
      <c r="F33" s="134"/>
      <c r="G33" s="134"/>
      <c r="H33" s="134"/>
      <c r="I33" s="134"/>
      <c r="J33" s="96"/>
      <c r="K33" s="97"/>
    </row>
    <row r="34" spans="1:11" x14ac:dyDescent="0.25">
      <c r="A34" s="132"/>
      <c r="B34" s="133"/>
      <c r="C34" s="134"/>
      <c r="D34" s="134"/>
      <c r="E34" s="134"/>
      <c r="F34" s="134"/>
      <c r="G34" s="134"/>
      <c r="H34" s="134"/>
      <c r="I34" s="134"/>
      <c r="J34" s="96"/>
      <c r="K34" s="97"/>
    </row>
    <row r="35" spans="1:11" ht="15.75" thickBot="1" x14ac:dyDescent="0.3">
      <c r="A35" s="135"/>
      <c r="B35" s="136"/>
      <c r="C35" s="136"/>
      <c r="D35" s="136"/>
      <c r="E35" s="136"/>
      <c r="F35" s="136"/>
      <c r="G35" s="136"/>
      <c r="H35" s="136"/>
      <c r="I35" s="136"/>
      <c r="J35" s="96"/>
      <c r="K35" s="97" t="str">
        <f t="array" aca="1" ref="K35" ca="1">IF(SUM(IF(A$1:A$35="",0,1/COUNTIF(A$1:A$35,A$1:A$35))) &lt; ROW(A35),"",INDEX(A:A,SMALL(IF(COUNTIF(OFFSET(A$1,,,ROW($1:$35)),A$1:A$35)=1,ROW($1:$35)),ROW(A35))))</f>
        <v/>
      </c>
    </row>
  </sheetData>
  <sheetProtection algorithmName="SHA-512" hashValue="zHsw7J3zuECHsjm4+YuAh+ba3TX7oAMNnYZT8ac8J15uVJNmdEeOc6/3yptJ7xFFb7o2JSoLk8Oxk/PgrL9H2A==" saltValue="9ANCMBasZZ7fEvTOTryCdg==" spinCount="100000" sheet="1" objects="1" scenarios="1" selectLockedCells="1"/>
  <conditionalFormatting sqref="A2:I34">
    <cfRule type="expression" dxfId="1" priority="1">
      <formula>ROW()=EVEN(ROW())</formula>
    </cfRule>
  </conditionalFormatting>
  <conditionalFormatting sqref="O1:W1">
    <cfRule type="expression" dxfId="0" priority="5">
      <formula>ROW()=EVEN(ROW())</formula>
    </cfRule>
  </conditionalFormatting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5580f03-99ea-4700-ae07-6cd2cd5217e3" xsi:nil="true"/>
    <lcf76f155ced4ddcb4097134ff3c332f xmlns="34c35a46-1bca-400e-aa73-f1d1c015ec10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B71B3FDDF168F4EA701050F9E571A5C" ma:contentTypeVersion="17" ma:contentTypeDescription="Ein neues Dokument erstellen." ma:contentTypeScope="" ma:versionID="3d297145d931395b43f286024c730add">
  <xsd:schema xmlns:xsd="http://www.w3.org/2001/XMLSchema" xmlns:xs="http://www.w3.org/2001/XMLSchema" xmlns:p="http://schemas.microsoft.com/office/2006/metadata/properties" xmlns:ns2="34c35a46-1bca-400e-aa73-f1d1c015ec10" xmlns:ns3="55580f03-99ea-4700-ae07-6cd2cd5217e3" targetNamespace="http://schemas.microsoft.com/office/2006/metadata/properties" ma:root="true" ma:fieldsID="e59ace3a72778637f0c7dfc4c6e0bd1e" ns2:_="" ns3:_="">
    <xsd:import namespace="34c35a46-1bca-400e-aa73-f1d1c015ec10"/>
    <xsd:import namespace="55580f03-99ea-4700-ae07-6cd2cd5217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c35a46-1bca-400e-aa73-f1d1c015ec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Bildmarkierungen" ma:readOnly="false" ma:fieldId="{5cf76f15-5ced-4ddc-b409-7134ff3c332f}" ma:taxonomyMulti="true" ma:sspId="d9db4d3b-3ef8-4e2b-96ed-30337f285f6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580f03-99ea-4700-ae07-6cd2cd5217e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a2adaaa-12fe-44b9-bcf7-c34204535a78}" ma:internalName="TaxCatchAll" ma:showField="CatchAllData" ma:web="55580f03-99ea-4700-ae07-6cd2cd5217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952614-92A1-4952-9206-94F99D5ECC1D}">
  <ds:schemaRefs>
    <ds:schemaRef ds:uri="http://schemas.microsoft.com/office/2006/metadata/properties"/>
    <ds:schemaRef ds:uri="http://schemas.microsoft.com/office/infopath/2007/PartnerControls"/>
    <ds:schemaRef ds:uri="55580f03-99ea-4700-ae07-6cd2cd5217e3"/>
    <ds:schemaRef ds:uri="34c35a46-1bca-400e-aa73-f1d1c015ec10"/>
  </ds:schemaRefs>
</ds:datastoreItem>
</file>

<file path=customXml/itemProps2.xml><?xml version="1.0" encoding="utf-8"?>
<ds:datastoreItem xmlns:ds="http://schemas.openxmlformats.org/officeDocument/2006/customXml" ds:itemID="{7E2FF7B2-3D03-4B48-9EF6-53F23BF1DB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c35a46-1bca-400e-aa73-f1d1c015ec10"/>
    <ds:schemaRef ds:uri="55580f03-99ea-4700-ae07-6cd2cd5217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8E76242-36AD-40C7-9847-5146A9A5F0B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Auslegungshilfe</vt:lpstr>
      <vt:lpstr>Übersetzungen</vt:lpstr>
      <vt:lpstr>Modulliste</vt:lpstr>
      <vt:lpstr>Akkuliste</vt:lpstr>
      <vt:lpstr>Auslegungshilfe!Druckbereich</vt:lpstr>
      <vt:lpstr>Hersteller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Hans Braun</dc:creator>
  <cp:keywords/>
  <dc:description/>
  <cp:lastModifiedBy>Tobias Schwartz</cp:lastModifiedBy>
  <cp:revision/>
  <dcterms:created xsi:type="dcterms:W3CDTF">2018-12-03T06:30:36Z</dcterms:created>
  <dcterms:modified xsi:type="dcterms:W3CDTF">2025-08-18T09:45:54Z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0x010100DB71B3FDDF168F4EA701050F9E571A5C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TemplateUrl">
    <vt:lpwstr/>
  </property>
  <property fmtid="{D5CDD505-2E9C-101B-9397-08002B2CF9AE}" pid="6" name="ComplianceAssetId">
    <vt:lpwstr/>
  </property>
  <property fmtid="{D5CDD505-2E9C-101B-9397-08002B2CF9AE}" pid="7" name="MediaServiceImageTags">
    <vt:lpwstr/>
  </property>
</Properties>
</file>